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65" firstSheet="2" activeTab="2"/>
  </bookViews>
  <sheets>
    <sheet name="PSP Workplan 2015-18 " sheetId="7" r:id="rId1"/>
    <sheet name="Forecast Budget &amp; Followup" sheetId="11" state="hidden" r:id="rId2"/>
    <sheet name="Adenda or Use of Contigency" sheetId="12" r:id="rId3"/>
    <sheet name="Workings" sheetId="1" state="hidden" r:id="rId4"/>
    <sheet name="2. Justification" sheetId="2" r:id="rId5"/>
    <sheet name="3.  Expected sources of funding" sheetId="3" r:id="rId6"/>
    <sheet name="CONSOL BUDGET OUTCOME US$ " sheetId="4" r:id="rId7"/>
    <sheet name="CONSOL BUDGET OUTCOME EUROs" sheetId="9" r:id="rId8"/>
  </sheets>
  <definedNames>
    <definedName name="Excel_BuiltIn_Print_Area_11" localSheetId="7">#REF!</definedName>
    <definedName name="Excel_BuiltIn_Print_Area_11" localSheetId="6">#REF!</definedName>
    <definedName name="Excel_BuiltIn_Print_Area_11" localSheetId="1">#REF!</definedName>
    <definedName name="Excel_BuiltIn_Print_Area_11" localSheetId="0">#REF!</definedName>
    <definedName name="Excel_BuiltIn_Print_Area_11" localSheetId="3">#REF!</definedName>
    <definedName name="Excel_BuiltIn_Print_Area_11">#REF!</definedName>
    <definedName name="Excel_BuiltIn_Print_Area_12" localSheetId="7">#REF!</definedName>
    <definedName name="Excel_BuiltIn_Print_Area_12" localSheetId="6">#REF!</definedName>
    <definedName name="Excel_BuiltIn_Print_Area_12" localSheetId="1">#REF!</definedName>
    <definedName name="Excel_BuiltIn_Print_Area_12" localSheetId="0">#REF!</definedName>
    <definedName name="Excel_BuiltIn_Print_Area_12" localSheetId="3">#REF!</definedName>
    <definedName name="Excel_BuiltIn_Print_Area_12">#REF!</definedName>
    <definedName name="Excel_BuiltIn_Print_Area_13" localSheetId="7">#REF!</definedName>
    <definedName name="Excel_BuiltIn_Print_Area_13" localSheetId="6">#REF!</definedName>
    <definedName name="Excel_BuiltIn_Print_Area_13" localSheetId="1">#REF!</definedName>
    <definedName name="Excel_BuiltIn_Print_Area_13" localSheetId="0">#REF!</definedName>
    <definedName name="Excel_BuiltIn_Print_Area_13" localSheetId="3">#REF!</definedName>
    <definedName name="Excel_BuiltIn_Print_Area_13">#REF!</definedName>
    <definedName name="Excel_BuiltIn_Print_Area_14" localSheetId="7">#REF!</definedName>
    <definedName name="Excel_BuiltIn_Print_Area_14" localSheetId="6">#REF!</definedName>
    <definedName name="Excel_BuiltIn_Print_Area_14" localSheetId="1">#REF!</definedName>
    <definedName name="Excel_BuiltIn_Print_Area_14" localSheetId="0">#REF!</definedName>
    <definedName name="Excel_BuiltIn_Print_Area_14" localSheetId="3">#REF!</definedName>
    <definedName name="Excel_BuiltIn_Print_Area_14">#REF!</definedName>
    <definedName name="Excel_BuiltIn_Print_Area_15" localSheetId="7">#REF!</definedName>
    <definedName name="Excel_BuiltIn_Print_Area_15" localSheetId="6">#REF!</definedName>
    <definedName name="Excel_BuiltIn_Print_Area_15" localSheetId="1">#REF!</definedName>
    <definedName name="Excel_BuiltIn_Print_Area_15" localSheetId="0">#REF!</definedName>
    <definedName name="Excel_BuiltIn_Print_Area_15" localSheetId="3">#REF!</definedName>
    <definedName name="Excel_BuiltIn_Print_Area_15">#REF!</definedName>
    <definedName name="Excel_BuiltIn_Print_Area_16" localSheetId="7">#REF!</definedName>
    <definedName name="Excel_BuiltIn_Print_Area_16" localSheetId="6">#REF!</definedName>
    <definedName name="Excel_BuiltIn_Print_Area_16" localSheetId="1">#REF!</definedName>
    <definedName name="Excel_BuiltIn_Print_Area_16" localSheetId="0">#REF!</definedName>
    <definedName name="Excel_BuiltIn_Print_Area_16" localSheetId="3">#REF!</definedName>
    <definedName name="Excel_BuiltIn_Print_Area_16">#REF!</definedName>
    <definedName name="Excel_BuiltIn_Print_Area_4" localSheetId="7">#REF!</definedName>
    <definedName name="Excel_BuiltIn_Print_Area_4" localSheetId="6">#REF!</definedName>
    <definedName name="Excel_BuiltIn_Print_Area_4" localSheetId="1">#REF!</definedName>
    <definedName name="Excel_BuiltIn_Print_Area_4" localSheetId="0">#REF!</definedName>
    <definedName name="Excel_BuiltIn_Print_Area_4" localSheetId="3">#REF!</definedName>
    <definedName name="Excel_BuiltIn_Print_Area_4">#REF!</definedName>
    <definedName name="Excel_BuiltIn_Print_Area_8_1" localSheetId="1">#REF!</definedName>
    <definedName name="Excel_BuiltIn_Print_Area_8_1">#REF!</definedName>
    <definedName name="Excel_BuiltIn_Print_Area_9" localSheetId="7">#REF!</definedName>
    <definedName name="Excel_BuiltIn_Print_Area_9" localSheetId="6">#REF!</definedName>
    <definedName name="Excel_BuiltIn_Print_Area_9" localSheetId="1">#REF!</definedName>
    <definedName name="Excel_BuiltIn_Print_Area_9" localSheetId="0">#REF!</definedName>
    <definedName name="Excel_BuiltIn_Print_Area_9" localSheetId="3">#REF!</definedName>
    <definedName name="Excel_BuiltIn_Print_Area_9">#REF!</definedName>
    <definedName name="Excel_BuiltIn_Print_Titles_4" localSheetId="7">#REF!</definedName>
    <definedName name="Excel_BuiltIn_Print_Titles_4" localSheetId="6">#REF!</definedName>
    <definedName name="Excel_BuiltIn_Print_Titles_4" localSheetId="1">#REF!</definedName>
    <definedName name="Excel_BuiltIn_Print_Titles_4" localSheetId="0">#REF!</definedName>
    <definedName name="Excel_BuiltIn_Print_Titles_4" localSheetId="3">#REF!</definedName>
    <definedName name="Excel_BuiltIn_Print_Titles_4">#REF!</definedName>
    <definedName name="_xlnm.Print_Area" localSheetId="5">'3.  Expected sources of funding'!$A$1:$E$41</definedName>
    <definedName name="_xlnm.Print_Area" localSheetId="1">'Forecast Budget &amp; Followup'!$A$2:$AE$260</definedName>
    <definedName name="_xlnm.Print_Area" localSheetId="0">'PSP Workplan 2015-18 '!$A$2:$K$312</definedName>
    <definedName name="_xlnm.Print_Area" localSheetId="3">Workings!$A$2:$AE$308</definedName>
    <definedName name="_xlnm.Print_Titles" localSheetId="4">'2. Justification'!$1:$3</definedName>
    <definedName name="_xlnm.Print_Titles" localSheetId="1">'Forecast Budget &amp; Followup'!$13:$14</definedName>
    <definedName name="_xlnm.Print_Titles" localSheetId="0">'PSP Workplan 2015-18 '!$55:$56</definedName>
    <definedName name="_xlnm.Print_Titles" localSheetId="3">Workings!$61:$62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3" l="1"/>
  <c r="D21" i="3"/>
  <c r="I303" i="7"/>
  <c r="I305" i="7"/>
  <c r="H68" i="7"/>
  <c r="G18" i="4" l="1"/>
  <c r="G192" i="2"/>
  <c r="G17" i="9"/>
  <c r="S287" i="1" l="1"/>
  <c r="M223" i="12" l="1"/>
  <c r="M220" i="12"/>
  <c r="Y284" i="1"/>
  <c r="W71" i="1"/>
  <c r="I64" i="12"/>
  <c r="I53" i="12"/>
  <c r="I33" i="12"/>
  <c r="X65" i="1"/>
  <c r="M218" i="12"/>
  <c r="M206" i="12"/>
  <c r="M195" i="12"/>
  <c r="M140" i="12"/>
  <c r="M110" i="12"/>
  <c r="M103" i="12"/>
  <c r="M71" i="12"/>
  <c r="M64" i="12"/>
  <c r="M53" i="12"/>
  <c r="M33" i="12"/>
  <c r="M18" i="12"/>
  <c r="I8" i="12"/>
  <c r="I9" i="12"/>
  <c r="I10" i="12"/>
  <c r="I11" i="12"/>
  <c r="I12" i="12"/>
  <c r="I13" i="12"/>
  <c r="I18" i="12" s="1"/>
  <c r="I14" i="12"/>
  <c r="I15" i="12"/>
  <c r="I16" i="12"/>
  <c r="I21" i="12"/>
  <c r="I22" i="12"/>
  <c r="I23" i="12"/>
  <c r="I24" i="12"/>
  <c r="I25" i="12"/>
  <c r="I26" i="12"/>
  <c r="I27" i="12"/>
  <c r="I28" i="12"/>
  <c r="I29" i="12"/>
  <c r="I30" i="12"/>
  <c r="I31" i="12"/>
  <c r="I37" i="12"/>
  <c r="I38" i="12"/>
  <c r="I39" i="12"/>
  <c r="I40" i="12"/>
  <c r="I41" i="12"/>
  <c r="I42" i="12"/>
  <c r="I43" i="12"/>
  <c r="I44" i="12"/>
  <c r="I45" i="12"/>
  <c r="I46" i="12"/>
  <c r="I47" i="12"/>
  <c r="I48" i="12"/>
  <c r="I49" i="12"/>
  <c r="I50" i="12"/>
  <c r="I51" i="12"/>
  <c r="I55" i="12"/>
  <c r="I56" i="12"/>
  <c r="I57" i="12"/>
  <c r="I58" i="12"/>
  <c r="I59" i="12"/>
  <c r="I60" i="12"/>
  <c r="I61" i="12"/>
  <c r="I62" i="12"/>
  <c r="I67" i="12"/>
  <c r="I68" i="12"/>
  <c r="I69"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7" i="12"/>
  <c r="I108"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9" i="12"/>
  <c r="I200" i="12"/>
  <c r="I201" i="12"/>
  <c r="I202" i="12"/>
  <c r="I203" i="12"/>
  <c r="I204" i="12"/>
  <c r="I206" i="12"/>
  <c r="I209" i="12"/>
  <c r="I210" i="12"/>
  <c r="I211" i="12"/>
  <c r="I212" i="12"/>
  <c r="I213" i="12"/>
  <c r="I214" i="12"/>
  <c r="I215" i="12"/>
  <c r="I218" i="12" s="1"/>
  <c r="I216" i="12"/>
  <c r="I217" i="12"/>
  <c r="I7" i="12"/>
  <c r="H218" i="12"/>
  <c r="H220" i="12" s="1"/>
  <c r="H223" i="12" s="1"/>
  <c r="H206" i="12"/>
  <c r="I195" i="12"/>
  <c r="H195" i="12"/>
  <c r="H140" i="12"/>
  <c r="I110" i="12"/>
  <c r="J110" i="12"/>
  <c r="H110" i="12"/>
  <c r="I103" i="12"/>
  <c r="H103" i="12"/>
  <c r="D103" i="12"/>
  <c r="H71" i="12"/>
  <c r="I71" i="12" s="1"/>
  <c r="D71" i="12"/>
  <c r="H64" i="12"/>
  <c r="H53" i="12"/>
  <c r="H33" i="12"/>
  <c r="H18" i="12"/>
  <c r="I220" i="12" l="1"/>
  <c r="I223" i="12"/>
  <c r="Y65" i="1"/>
  <c r="X66" i="1"/>
  <c r="X76" i="1" s="1"/>
  <c r="Y66" i="1"/>
  <c r="Y76" i="1" s="1"/>
  <c r="X67" i="1"/>
  <c r="Y67" i="1"/>
  <c r="X68" i="1"/>
  <c r="Y68" i="1"/>
  <c r="X69" i="1"/>
  <c r="Y69" i="1"/>
  <c r="X70" i="1"/>
  <c r="Y70" i="1"/>
  <c r="X71" i="1"/>
  <c r="Y71" i="1"/>
  <c r="X72" i="1"/>
  <c r="Y72" i="1"/>
  <c r="X73" i="1"/>
  <c r="Y73" i="1"/>
  <c r="X74" i="1"/>
  <c r="Y74" i="1"/>
  <c r="X79" i="1"/>
  <c r="X91" i="1" s="1"/>
  <c r="Y79" i="1"/>
  <c r="Y91" i="1" s="1"/>
  <c r="X80" i="1"/>
  <c r="Y80" i="1"/>
  <c r="X81" i="1"/>
  <c r="Y81" i="1"/>
  <c r="X82" i="1"/>
  <c r="Y82" i="1"/>
  <c r="X83" i="1"/>
  <c r="Y83" i="1"/>
  <c r="X84" i="1"/>
  <c r="Y84" i="1"/>
  <c r="X85" i="1"/>
  <c r="Y85" i="1"/>
  <c r="X86" i="1"/>
  <c r="Y86" i="1"/>
  <c r="X87" i="1"/>
  <c r="Y87" i="1"/>
  <c r="X88" i="1"/>
  <c r="Y88" i="1"/>
  <c r="X89" i="1"/>
  <c r="Y89" i="1"/>
  <c r="X96" i="1"/>
  <c r="Y96" i="1"/>
  <c r="X97" i="1"/>
  <c r="Y97" i="1"/>
  <c r="X98" i="1"/>
  <c r="Y98" i="1"/>
  <c r="X99" i="1"/>
  <c r="Y99" i="1"/>
  <c r="X100" i="1"/>
  <c r="Y100" i="1"/>
  <c r="X101" i="1"/>
  <c r="Y101" i="1"/>
  <c r="X102" i="1"/>
  <c r="Y102" i="1"/>
  <c r="X103" i="1"/>
  <c r="Y103" i="1"/>
  <c r="X104" i="1"/>
  <c r="Y104" i="1"/>
  <c r="X105" i="1"/>
  <c r="Y105" i="1"/>
  <c r="X106" i="1"/>
  <c r="Y106" i="1"/>
  <c r="X107" i="1"/>
  <c r="Y107" i="1"/>
  <c r="X108" i="1"/>
  <c r="Y108" i="1"/>
  <c r="X109" i="1"/>
  <c r="Y109" i="1"/>
  <c r="X110" i="1"/>
  <c r="Y110" i="1"/>
  <c r="X112" i="1"/>
  <c r="Y112" i="1"/>
  <c r="X114" i="1"/>
  <c r="Y114" i="1"/>
  <c r="X115" i="1"/>
  <c r="X123" i="1" s="1"/>
  <c r="Y115" i="1"/>
  <c r="Y123" i="1" s="1"/>
  <c r="X116" i="1"/>
  <c r="Y116" i="1"/>
  <c r="X117" i="1"/>
  <c r="Y117" i="1"/>
  <c r="X118" i="1"/>
  <c r="Y118" i="1"/>
  <c r="X119" i="1"/>
  <c r="Y119" i="1"/>
  <c r="X120" i="1"/>
  <c r="Y120" i="1"/>
  <c r="X121" i="1"/>
  <c r="Y121" i="1"/>
  <c r="X127" i="1"/>
  <c r="X130" i="1" s="1"/>
  <c r="Y127" i="1"/>
  <c r="Y130" i="1" s="1"/>
  <c r="X133" i="1"/>
  <c r="Y133" i="1"/>
  <c r="X134" i="1"/>
  <c r="Y134" i="1"/>
  <c r="X135" i="1"/>
  <c r="Y135" i="1"/>
  <c r="X136" i="1"/>
  <c r="Y136" i="1"/>
  <c r="X137" i="1"/>
  <c r="Y137" i="1"/>
  <c r="X138" i="1"/>
  <c r="Y138" i="1"/>
  <c r="X139" i="1"/>
  <c r="Y139" i="1"/>
  <c r="X140" i="1"/>
  <c r="Y140" i="1"/>
  <c r="X141" i="1"/>
  <c r="Y141" i="1"/>
  <c r="X142" i="1"/>
  <c r="Y142" i="1"/>
  <c r="X143" i="1"/>
  <c r="Y143" i="1"/>
  <c r="X144" i="1"/>
  <c r="Y144" i="1"/>
  <c r="X145" i="1"/>
  <c r="Y145" i="1"/>
  <c r="X146" i="1"/>
  <c r="Y146" i="1"/>
  <c r="X147" i="1"/>
  <c r="Y147" i="1"/>
  <c r="X148" i="1"/>
  <c r="Y148" i="1"/>
  <c r="X149" i="1"/>
  <c r="Y149" i="1"/>
  <c r="X150" i="1"/>
  <c r="Y150" i="1"/>
  <c r="X151" i="1"/>
  <c r="Y151" i="1"/>
  <c r="X152" i="1"/>
  <c r="Y152" i="1"/>
  <c r="X153" i="1"/>
  <c r="Y153" i="1"/>
  <c r="X154" i="1"/>
  <c r="Y154" i="1"/>
  <c r="X155" i="1"/>
  <c r="Y155" i="1"/>
  <c r="X156" i="1"/>
  <c r="Y156" i="1"/>
  <c r="X157" i="1"/>
  <c r="Y157" i="1"/>
  <c r="X158" i="1"/>
  <c r="Y158" i="1"/>
  <c r="X159" i="1"/>
  <c r="Y159" i="1"/>
  <c r="X160" i="1"/>
  <c r="Y160" i="1"/>
  <c r="X162" i="1"/>
  <c r="Y162" i="1"/>
  <c r="X167" i="1"/>
  <c r="Y167" i="1"/>
  <c r="X168" i="1"/>
  <c r="Y168" i="1"/>
  <c r="X170" i="1"/>
  <c r="X171" i="1" s="1"/>
  <c r="Y170" i="1"/>
  <c r="Y171" i="1" s="1"/>
  <c r="X175" i="1"/>
  <c r="X201" i="1" s="1"/>
  <c r="Y175" i="1"/>
  <c r="Y201" i="1" s="1"/>
  <c r="X176" i="1"/>
  <c r="Y176" i="1"/>
  <c r="X177" i="1"/>
  <c r="Y177" i="1"/>
  <c r="X178" i="1"/>
  <c r="Y178" i="1"/>
  <c r="X179" i="1"/>
  <c r="Y179" i="1"/>
  <c r="X180" i="1"/>
  <c r="Y180" i="1"/>
  <c r="X181" i="1"/>
  <c r="Y181" i="1"/>
  <c r="X182" i="1"/>
  <c r="Y182" i="1"/>
  <c r="X183" i="1"/>
  <c r="Y183" i="1"/>
  <c r="X184" i="1"/>
  <c r="Y184" i="1"/>
  <c r="X185" i="1"/>
  <c r="Y185" i="1"/>
  <c r="X186" i="1"/>
  <c r="Y186" i="1"/>
  <c r="X187" i="1"/>
  <c r="Y187" i="1"/>
  <c r="X188" i="1"/>
  <c r="Y188" i="1"/>
  <c r="X189" i="1"/>
  <c r="Y189" i="1"/>
  <c r="X190" i="1"/>
  <c r="Y190" i="1"/>
  <c r="X191" i="1"/>
  <c r="Y191" i="1"/>
  <c r="X192" i="1"/>
  <c r="Y192" i="1"/>
  <c r="X193" i="1"/>
  <c r="Y193" i="1"/>
  <c r="X194" i="1"/>
  <c r="Y194" i="1"/>
  <c r="X195" i="1"/>
  <c r="Y195" i="1"/>
  <c r="X196" i="1"/>
  <c r="Y196" i="1"/>
  <c r="X197" i="1"/>
  <c r="Y197" i="1"/>
  <c r="X198" i="1"/>
  <c r="Y198" i="1"/>
  <c r="X199" i="1"/>
  <c r="Y199" i="1"/>
  <c r="X204" i="1"/>
  <c r="X256" i="1" s="1"/>
  <c r="Y204" i="1"/>
  <c r="Y256" i="1" s="1"/>
  <c r="X205" i="1"/>
  <c r="Y205" i="1"/>
  <c r="X206" i="1"/>
  <c r="Y206" i="1"/>
  <c r="X207" i="1"/>
  <c r="Y207" i="1"/>
  <c r="X208" i="1"/>
  <c r="Y208" i="1"/>
  <c r="X209" i="1"/>
  <c r="Y209" i="1"/>
  <c r="X210" i="1"/>
  <c r="Y210" i="1"/>
  <c r="X211" i="1"/>
  <c r="Y211" i="1"/>
  <c r="X212" i="1"/>
  <c r="Y212" i="1"/>
  <c r="X213" i="1"/>
  <c r="Y213" i="1"/>
  <c r="X214" i="1"/>
  <c r="Y214" i="1"/>
  <c r="X215" i="1"/>
  <c r="Y215" i="1"/>
  <c r="X216" i="1"/>
  <c r="Y216" i="1"/>
  <c r="X217" i="1"/>
  <c r="Y217" i="1"/>
  <c r="X218" i="1"/>
  <c r="Y218" i="1"/>
  <c r="X219" i="1"/>
  <c r="Y219" i="1"/>
  <c r="X220" i="1"/>
  <c r="Y220" i="1"/>
  <c r="X221" i="1"/>
  <c r="Y221" i="1"/>
  <c r="X222" i="1"/>
  <c r="Y222" i="1"/>
  <c r="X223" i="1"/>
  <c r="Y223" i="1"/>
  <c r="X224" i="1"/>
  <c r="Y224" i="1"/>
  <c r="X225" i="1"/>
  <c r="Y225" i="1"/>
  <c r="X226" i="1"/>
  <c r="Y226" i="1"/>
  <c r="X227" i="1"/>
  <c r="Y227" i="1"/>
  <c r="X228" i="1"/>
  <c r="Y228" i="1"/>
  <c r="X229" i="1"/>
  <c r="Y229" i="1"/>
  <c r="X230" i="1"/>
  <c r="Y230" i="1"/>
  <c r="X231" i="1"/>
  <c r="Y231" i="1"/>
  <c r="X232" i="1"/>
  <c r="Y232" i="1"/>
  <c r="X233" i="1"/>
  <c r="Y233" i="1"/>
  <c r="X234" i="1"/>
  <c r="Y234" i="1"/>
  <c r="X235" i="1"/>
  <c r="Y235" i="1"/>
  <c r="X236" i="1"/>
  <c r="Y236" i="1"/>
  <c r="X237" i="1"/>
  <c r="Y237" i="1"/>
  <c r="X238" i="1"/>
  <c r="Y238" i="1"/>
  <c r="X239" i="1"/>
  <c r="Y239" i="1"/>
  <c r="X240" i="1"/>
  <c r="Y240" i="1"/>
  <c r="X241" i="1"/>
  <c r="Y241" i="1"/>
  <c r="X242" i="1"/>
  <c r="Y242" i="1"/>
  <c r="X243" i="1"/>
  <c r="Y243" i="1"/>
  <c r="X244" i="1"/>
  <c r="Y244" i="1"/>
  <c r="X245" i="1"/>
  <c r="Y245" i="1"/>
  <c r="X246" i="1"/>
  <c r="Y246" i="1"/>
  <c r="X247" i="1"/>
  <c r="Y247" i="1"/>
  <c r="X248" i="1"/>
  <c r="Y248" i="1"/>
  <c r="X249" i="1"/>
  <c r="Y249" i="1"/>
  <c r="X250" i="1"/>
  <c r="Y250" i="1"/>
  <c r="X251" i="1"/>
  <c r="Y251" i="1"/>
  <c r="X252" i="1"/>
  <c r="Y252" i="1"/>
  <c r="X253" i="1"/>
  <c r="Y253" i="1"/>
  <c r="X254" i="1"/>
  <c r="Y254" i="1"/>
  <c r="X262" i="1"/>
  <c r="Y262" i="1"/>
  <c r="X263" i="1"/>
  <c r="X269" i="1" s="1"/>
  <c r="X282" i="1" s="1"/>
  <c r="Y263" i="1"/>
  <c r="Y269" i="1" s="1"/>
  <c r="Y282" i="1" s="1"/>
  <c r="X264" i="1"/>
  <c r="Y264" i="1"/>
  <c r="X265" i="1"/>
  <c r="Y265" i="1"/>
  <c r="X266" i="1"/>
  <c r="Y266" i="1"/>
  <c r="X267" i="1"/>
  <c r="Y267" i="1"/>
  <c r="X272" i="1"/>
  <c r="Y272" i="1"/>
  <c r="X273" i="1"/>
  <c r="Y273" i="1"/>
  <c r="X274" i="1"/>
  <c r="Y274" i="1"/>
  <c r="X275" i="1"/>
  <c r="Y275" i="1"/>
  <c r="X276" i="1"/>
  <c r="Y276" i="1"/>
  <c r="X277" i="1"/>
  <c r="Y277" i="1"/>
  <c r="X278" i="1"/>
  <c r="Y278" i="1"/>
  <c r="X279" i="1"/>
  <c r="Y279" i="1"/>
  <c r="X280" i="1"/>
  <c r="Y280" i="1"/>
  <c r="X281" i="1"/>
  <c r="Y281" i="1"/>
  <c r="T65" i="1"/>
  <c r="S71" i="1"/>
  <c r="AB68" i="1"/>
  <c r="V67" i="1"/>
  <c r="L70" i="1"/>
  <c r="N287" i="1"/>
  <c r="Y287" i="1" l="1"/>
  <c r="Y92" i="1"/>
  <c r="X284" i="1"/>
  <c r="X287" i="1" s="1"/>
  <c r="X92" i="1"/>
  <c r="Y257" i="1"/>
  <c r="Y163" i="1"/>
  <c r="X257" i="1"/>
  <c r="X163" i="1"/>
  <c r="H302" i="1"/>
  <c r="V253" i="11"/>
  <c r="AA239" i="11"/>
  <c r="I62" i="7"/>
  <c r="O285" i="1" l="1"/>
  <c r="K254" i="11" l="1"/>
  <c r="M253" i="11"/>
  <c r="O237" i="11"/>
  <c r="C11" i="3" l="1"/>
  <c r="W248" i="1"/>
  <c r="W241" i="1"/>
  <c r="W239" i="1"/>
  <c r="W222" i="1"/>
  <c r="W221" i="1"/>
  <c r="W214" i="1"/>
  <c r="W207" i="1"/>
  <c r="W193" i="1"/>
  <c r="W183" i="1"/>
  <c r="W182" i="1"/>
  <c r="W158" i="1"/>
  <c r="W156" i="1"/>
  <c r="W152" i="1"/>
  <c r="W146" i="1"/>
  <c r="W145" i="1"/>
  <c r="W72" i="1"/>
  <c r="I36" i="2"/>
  <c r="H6" i="2"/>
  <c r="J156" i="2"/>
  <c r="H156" i="2"/>
  <c r="O138" i="2"/>
  <c r="N138" i="2"/>
  <c r="H138" i="2"/>
  <c r="H137" i="2"/>
  <c r="I121" i="2"/>
  <c r="H121" i="2"/>
  <c r="I120" i="2"/>
  <c r="I119" i="2"/>
  <c r="H119" i="2"/>
  <c r="H115" i="2"/>
  <c r="H113" i="2"/>
  <c r="H110" i="2"/>
  <c r="I106" i="2"/>
  <c r="I105" i="2"/>
  <c r="I83" i="2"/>
  <c r="I80" i="2"/>
  <c r="H76" i="2"/>
  <c r="I61" i="2"/>
  <c r="I57" i="2"/>
  <c r="H57" i="2"/>
  <c r="J53" i="2"/>
  <c r="J49" i="2"/>
  <c r="K48" i="2"/>
  <c r="H48" i="2"/>
  <c r="I47" i="2"/>
  <c r="I38" i="2"/>
  <c r="J37" i="2"/>
  <c r="H36" i="2"/>
  <c r="I17" i="2"/>
  <c r="S95" i="7"/>
  <c r="J31" i="2"/>
  <c r="I23" i="2"/>
  <c r="H18" i="2"/>
  <c r="M58" i="2"/>
  <c r="I299" i="1"/>
  <c r="J299" i="1" s="1"/>
  <c r="F302" i="1"/>
  <c r="I41" i="1" s="1"/>
  <c r="J41" i="1" s="1"/>
  <c r="H301" i="1"/>
  <c r="I301" i="1" s="1"/>
  <c r="J301" i="1" s="1"/>
  <c r="G300" i="1"/>
  <c r="G302" i="1" s="1"/>
  <c r="I39" i="1" s="1"/>
  <c r="J39" i="1" s="1"/>
  <c r="H299" i="1"/>
  <c r="E298" i="1"/>
  <c r="H298" i="1" s="1"/>
  <c r="I298" i="1" s="1"/>
  <c r="J298" i="1" s="1"/>
  <c r="N253" i="11"/>
  <c r="L252" i="11"/>
  <c r="M251" i="11"/>
  <c r="N251" i="11" s="1"/>
  <c r="J250" i="11"/>
  <c r="AC239" i="11"/>
  <c r="AB239" i="11"/>
  <c r="Z239" i="11"/>
  <c r="M239" i="11"/>
  <c r="L239" i="11"/>
  <c r="K239" i="11"/>
  <c r="J239" i="11"/>
  <c r="I239" i="11"/>
  <c r="S237" i="11"/>
  <c r="R237" i="11"/>
  <c r="Q237" i="11"/>
  <c r="P237" i="11"/>
  <c r="G237" i="11"/>
  <c r="F237" i="11"/>
  <c r="E237" i="11"/>
  <c r="G233" i="11"/>
  <c r="S232" i="11"/>
  <c r="V231" i="11"/>
  <c r="T231" i="11"/>
  <c r="F231" i="11"/>
  <c r="E231" i="11"/>
  <c r="Q230" i="11"/>
  <c r="P230" i="11"/>
  <c r="F230" i="11"/>
  <c r="E230" i="11"/>
  <c r="S229" i="11"/>
  <c r="R229" i="11"/>
  <c r="H229" i="11"/>
  <c r="L229" i="11" s="1"/>
  <c r="P228" i="11"/>
  <c r="E228" i="11"/>
  <c r="H228" i="11" s="1"/>
  <c r="L228" i="11" s="1"/>
  <c r="N228" i="11" s="1"/>
  <c r="O228" i="11" s="1"/>
  <c r="Q227" i="11"/>
  <c r="P227" i="11"/>
  <c r="E227" i="11"/>
  <c r="H227" i="11" s="1"/>
  <c r="L227" i="11" s="1"/>
  <c r="M227" i="11" s="1"/>
  <c r="V226" i="11"/>
  <c r="AB226" i="11" s="1"/>
  <c r="T226" i="11"/>
  <c r="F226" i="11"/>
  <c r="E226" i="11"/>
  <c r="S225" i="11"/>
  <c r="V225" i="11" s="1"/>
  <c r="H225" i="11"/>
  <c r="L225" i="11" s="1"/>
  <c r="P224" i="11"/>
  <c r="E224" i="11"/>
  <c r="G221" i="11"/>
  <c r="P219" i="11"/>
  <c r="T219" i="11" s="1"/>
  <c r="H219" i="11"/>
  <c r="L219" i="11" s="1"/>
  <c r="S218" i="11"/>
  <c r="V218" i="11" s="1"/>
  <c r="H218" i="11"/>
  <c r="L218" i="11" s="1"/>
  <c r="S217" i="11"/>
  <c r="H217" i="11"/>
  <c r="L217" i="11" s="1"/>
  <c r="R216" i="11"/>
  <c r="R221" i="11" s="1"/>
  <c r="E216" i="11"/>
  <c r="H216" i="11" s="1"/>
  <c r="L216" i="11" s="1"/>
  <c r="V215" i="11"/>
  <c r="T215" i="11"/>
  <c r="F215" i="11"/>
  <c r="E215" i="11"/>
  <c r="V214" i="11"/>
  <c r="Q214" i="11"/>
  <c r="T214" i="11" s="1"/>
  <c r="F214" i="11"/>
  <c r="E214" i="11"/>
  <c r="V206" i="11"/>
  <c r="AB206" i="11" s="1"/>
  <c r="AD206" i="11" s="1"/>
  <c r="AE206" i="11" s="1"/>
  <c r="T206" i="11"/>
  <c r="H206" i="11"/>
  <c r="L206" i="11" s="1"/>
  <c r="M206" i="11" s="1"/>
  <c r="S205" i="11"/>
  <c r="H205" i="11"/>
  <c r="L205" i="11" s="1"/>
  <c r="V204" i="11"/>
  <c r="T204" i="11"/>
  <c r="E204" i="11"/>
  <c r="H204" i="11" s="1"/>
  <c r="L204" i="11" s="1"/>
  <c r="V203" i="11"/>
  <c r="AB203" i="11" s="1"/>
  <c r="T203" i="11"/>
  <c r="E203" i="11"/>
  <c r="H203" i="11" s="1"/>
  <c r="L203" i="11" s="1"/>
  <c r="V202" i="11"/>
  <c r="T202" i="11"/>
  <c r="E202" i="11"/>
  <c r="H202" i="11" s="1"/>
  <c r="L202" i="11" s="1"/>
  <c r="P201" i="11"/>
  <c r="E201" i="11"/>
  <c r="H201" i="11" s="1"/>
  <c r="L201" i="11" s="1"/>
  <c r="AB200" i="11"/>
  <c r="W200" i="11"/>
  <c r="H200" i="11"/>
  <c r="L200" i="11" s="1"/>
  <c r="N200" i="11" s="1"/>
  <c r="R199" i="11"/>
  <c r="P199" i="11"/>
  <c r="E199" i="11"/>
  <c r="H199" i="11" s="1"/>
  <c r="L199" i="11" s="1"/>
  <c r="AD198" i="11"/>
  <c r="AE198" i="11" s="1"/>
  <c r="AC198" i="11"/>
  <c r="V198" i="11"/>
  <c r="P198" i="11"/>
  <c r="T198" i="11" s="1"/>
  <c r="F198" i="11"/>
  <c r="H198" i="11" s="1"/>
  <c r="L198" i="11" s="1"/>
  <c r="S197" i="11"/>
  <c r="T197" i="11" s="1"/>
  <c r="H197" i="11"/>
  <c r="L197" i="11" s="1"/>
  <c r="V196" i="11"/>
  <c r="T196" i="11"/>
  <c r="G196" i="11"/>
  <c r="F196" i="11"/>
  <c r="E196" i="11"/>
  <c r="AB195" i="11"/>
  <c r="AD195" i="11" s="1"/>
  <c r="AE195" i="11" s="1"/>
  <c r="V195" i="11"/>
  <c r="W195" i="11" s="1"/>
  <c r="T195" i="11"/>
  <c r="E195" i="11"/>
  <c r="H195" i="11" s="1"/>
  <c r="L195" i="11" s="1"/>
  <c r="M195" i="11" s="1"/>
  <c r="V194" i="11"/>
  <c r="W194" i="11" s="1"/>
  <c r="T194" i="11"/>
  <c r="E194" i="11"/>
  <c r="H194" i="11" s="1"/>
  <c r="L194" i="11" s="1"/>
  <c r="N194" i="11" s="1"/>
  <c r="O194" i="11" s="1"/>
  <c r="AE193" i="11"/>
  <c r="E193" i="11"/>
  <c r="H193" i="11" s="1"/>
  <c r="L193" i="11" s="1"/>
  <c r="V192" i="11"/>
  <c r="AB192" i="11" s="1"/>
  <c r="T192" i="11"/>
  <c r="F192" i="11"/>
  <c r="E192" i="11"/>
  <c r="H192" i="11" s="1"/>
  <c r="L192" i="11" s="1"/>
  <c r="AE191" i="11"/>
  <c r="F191" i="11"/>
  <c r="E191" i="11"/>
  <c r="P190" i="11"/>
  <c r="E190" i="11"/>
  <c r="H190" i="11" s="1"/>
  <c r="L190" i="11" s="1"/>
  <c r="P189" i="11"/>
  <c r="E189" i="11"/>
  <c r="H189" i="11" s="1"/>
  <c r="L189" i="11" s="1"/>
  <c r="AE188" i="11"/>
  <c r="V188" i="11"/>
  <c r="W188" i="11" s="1"/>
  <c r="T188" i="11"/>
  <c r="H188" i="11"/>
  <c r="L188" i="11" s="1"/>
  <c r="S187" i="11"/>
  <c r="H187" i="11"/>
  <c r="L187" i="11" s="1"/>
  <c r="M187" i="11" s="1"/>
  <c r="AE186" i="11"/>
  <c r="V186" i="11"/>
  <c r="W186" i="11" s="1"/>
  <c r="T186" i="11"/>
  <c r="H186" i="11"/>
  <c r="L186" i="11" s="1"/>
  <c r="N186" i="11" s="1"/>
  <c r="O186" i="11" s="1"/>
  <c r="V185" i="11"/>
  <c r="AB185" i="11" s="1"/>
  <c r="AC185" i="11" s="1"/>
  <c r="T185" i="11"/>
  <c r="F185" i="11"/>
  <c r="E185" i="11"/>
  <c r="R184" i="11"/>
  <c r="Q184" i="11"/>
  <c r="P184" i="11"/>
  <c r="F184" i="11"/>
  <c r="E184" i="11"/>
  <c r="AB183" i="11"/>
  <c r="AD183" i="11" s="1"/>
  <c r="AE183" i="11" s="1"/>
  <c r="V183" i="11"/>
  <c r="W183" i="11" s="1"/>
  <c r="T183" i="11"/>
  <c r="E183" i="11"/>
  <c r="H183" i="11" s="1"/>
  <c r="L183" i="11" s="1"/>
  <c r="V182" i="11"/>
  <c r="T182" i="11"/>
  <c r="E182" i="11"/>
  <c r="H182" i="11" s="1"/>
  <c r="L182" i="11" s="1"/>
  <c r="N182" i="11" s="1"/>
  <c r="O182" i="11" s="1"/>
  <c r="R181" i="11"/>
  <c r="P181" i="11"/>
  <c r="E181" i="11"/>
  <c r="H181" i="11" s="1"/>
  <c r="L181" i="11" s="1"/>
  <c r="P180" i="11"/>
  <c r="T180" i="11" s="1"/>
  <c r="E180" i="11"/>
  <c r="H180" i="11" s="1"/>
  <c r="L180" i="11" s="1"/>
  <c r="S179" i="11"/>
  <c r="R179" i="11"/>
  <c r="T179" i="11" s="1"/>
  <c r="H179" i="11"/>
  <c r="L179" i="11" s="1"/>
  <c r="R178" i="11"/>
  <c r="H178" i="11"/>
  <c r="L178" i="11" s="1"/>
  <c r="M178" i="11" s="1"/>
  <c r="P177" i="11"/>
  <c r="H177" i="11"/>
  <c r="L177" i="11" s="1"/>
  <c r="R176" i="11"/>
  <c r="P176" i="11"/>
  <c r="E176" i="11"/>
  <c r="H176" i="11" s="1"/>
  <c r="L176" i="11" s="1"/>
  <c r="N176" i="11" s="1"/>
  <c r="O176" i="11" s="1"/>
  <c r="S175" i="11"/>
  <c r="R175" i="11"/>
  <c r="P175" i="11"/>
  <c r="G175" i="11"/>
  <c r="F175" i="11"/>
  <c r="E175" i="11"/>
  <c r="AE174" i="11"/>
  <c r="F174" i="11"/>
  <c r="H174" i="11" s="1"/>
  <c r="L174" i="11" s="1"/>
  <c r="AE173" i="11"/>
  <c r="F173" i="11"/>
  <c r="H173" i="11" s="1"/>
  <c r="L173" i="11" s="1"/>
  <c r="V172" i="11"/>
  <c r="AB172" i="11" s="1"/>
  <c r="AD172" i="11" s="1"/>
  <c r="AE172" i="11" s="1"/>
  <c r="T172" i="11"/>
  <c r="F172" i="11"/>
  <c r="AE171" i="11"/>
  <c r="V171" i="11"/>
  <c r="T171" i="11"/>
  <c r="H171" i="11"/>
  <c r="L171" i="11" s="1"/>
  <c r="N171" i="11" s="1"/>
  <c r="O171" i="11" s="1"/>
  <c r="V170" i="11"/>
  <c r="AB170" i="11" s="1"/>
  <c r="T170" i="11"/>
  <c r="H170" i="11"/>
  <c r="L170" i="11" s="1"/>
  <c r="M170" i="11" s="1"/>
  <c r="S169" i="11"/>
  <c r="H169" i="11"/>
  <c r="L169" i="11" s="1"/>
  <c r="N169" i="11" s="1"/>
  <c r="O169" i="11" s="1"/>
  <c r="R168" i="11"/>
  <c r="H168" i="11"/>
  <c r="L168" i="11" s="1"/>
  <c r="S167" i="11"/>
  <c r="R167" i="11"/>
  <c r="E167" i="11"/>
  <c r="H167" i="11" s="1"/>
  <c r="L167" i="11" s="1"/>
  <c r="AE166" i="11"/>
  <c r="G166" i="11"/>
  <c r="P165" i="11"/>
  <c r="E165" i="11"/>
  <c r="H165" i="11" s="1"/>
  <c r="L165" i="11" s="1"/>
  <c r="M165" i="11" s="1"/>
  <c r="V164" i="11"/>
  <c r="AB164" i="11" s="1"/>
  <c r="T164" i="11"/>
  <c r="H164" i="11"/>
  <c r="L164" i="11" s="1"/>
  <c r="N164" i="11" s="1"/>
  <c r="O164" i="11" s="1"/>
  <c r="V163" i="11"/>
  <c r="T163" i="11"/>
  <c r="H163" i="11"/>
  <c r="L163" i="11" s="1"/>
  <c r="M163" i="11" s="1"/>
  <c r="Q162" i="11"/>
  <c r="T162" i="11" s="1"/>
  <c r="E162" i="11"/>
  <c r="H162" i="11" s="1"/>
  <c r="L162" i="11" s="1"/>
  <c r="V161" i="11"/>
  <c r="T161" i="11"/>
  <c r="F161" i="11"/>
  <c r="H161" i="11" s="1"/>
  <c r="L161" i="11" s="1"/>
  <c r="P160" i="11"/>
  <c r="T160" i="11" s="1"/>
  <c r="F160" i="11"/>
  <c r="E160" i="11"/>
  <c r="AE159" i="11"/>
  <c r="E159" i="11"/>
  <c r="H159" i="11" s="1"/>
  <c r="L159" i="11" s="1"/>
  <c r="R158" i="11"/>
  <c r="T158" i="11" s="1"/>
  <c r="E158" i="11"/>
  <c r="H158" i="11" s="1"/>
  <c r="L158" i="11" s="1"/>
  <c r="M158" i="11" s="1"/>
  <c r="V157" i="11"/>
  <c r="AB157" i="11" s="1"/>
  <c r="T157" i="11"/>
  <c r="H157" i="11"/>
  <c r="L157" i="11" s="1"/>
  <c r="M157" i="11" s="1"/>
  <c r="R156" i="11"/>
  <c r="Q156" i="11"/>
  <c r="E156" i="11"/>
  <c r="S151" i="11"/>
  <c r="T151" i="11" s="1"/>
  <c r="H151" i="11"/>
  <c r="L151" i="11" s="1"/>
  <c r="AE150" i="11"/>
  <c r="V150" i="11"/>
  <c r="T150" i="11"/>
  <c r="H150" i="11"/>
  <c r="L150" i="11" s="1"/>
  <c r="N150" i="11" s="1"/>
  <c r="O150" i="11" s="1"/>
  <c r="R149" i="11"/>
  <c r="V149" i="11" s="1"/>
  <c r="AB149" i="11" s="1"/>
  <c r="AC149" i="11" s="1"/>
  <c r="H149" i="11"/>
  <c r="L149" i="11" s="1"/>
  <c r="N149" i="11" s="1"/>
  <c r="O149" i="11" s="1"/>
  <c r="V148" i="11"/>
  <c r="AB148" i="11" s="1"/>
  <c r="AC148" i="11" s="1"/>
  <c r="T148" i="11"/>
  <c r="H148" i="11"/>
  <c r="L148" i="11" s="1"/>
  <c r="M148" i="11" s="1"/>
  <c r="S147" i="11"/>
  <c r="R147" i="11"/>
  <c r="H147" i="11"/>
  <c r="L147" i="11" s="1"/>
  <c r="M147" i="11" s="1"/>
  <c r="V146" i="11"/>
  <c r="W146" i="11" s="1"/>
  <c r="T146" i="11"/>
  <c r="H146" i="11"/>
  <c r="L146" i="11" s="1"/>
  <c r="AE145" i="11"/>
  <c r="H145" i="11"/>
  <c r="L145" i="11" s="1"/>
  <c r="V144" i="11"/>
  <c r="T144" i="11"/>
  <c r="H144" i="11"/>
  <c r="L144" i="11" s="1"/>
  <c r="S143" i="11"/>
  <c r="R143" i="11"/>
  <c r="H143" i="11"/>
  <c r="L143" i="11" s="1"/>
  <c r="N143" i="11" s="1"/>
  <c r="O143" i="11" s="1"/>
  <c r="R142" i="11"/>
  <c r="V142" i="11" s="1"/>
  <c r="N142" i="11"/>
  <c r="O142" i="11" s="1"/>
  <c r="M142" i="11"/>
  <c r="S141" i="11"/>
  <c r="R141" i="11"/>
  <c r="G141" i="11"/>
  <c r="F141" i="11"/>
  <c r="E141" i="11"/>
  <c r="V140" i="11"/>
  <c r="AB140" i="11" s="1"/>
  <c r="AC140" i="11" s="1"/>
  <c r="T140" i="11"/>
  <c r="H140" i="11"/>
  <c r="L140" i="11" s="1"/>
  <c r="V139" i="11"/>
  <c r="W139" i="11" s="1"/>
  <c r="T139" i="11"/>
  <c r="H139" i="11"/>
  <c r="L139" i="11" s="1"/>
  <c r="S138" i="11"/>
  <c r="V138" i="11" s="1"/>
  <c r="H138" i="11"/>
  <c r="L138" i="11" s="1"/>
  <c r="N138" i="11" s="1"/>
  <c r="O138" i="11" s="1"/>
  <c r="R137" i="11"/>
  <c r="G137" i="11"/>
  <c r="F137" i="11"/>
  <c r="E137" i="11"/>
  <c r="S136" i="11"/>
  <c r="R136" i="11"/>
  <c r="P136" i="11"/>
  <c r="G136" i="11"/>
  <c r="F136" i="11"/>
  <c r="E136" i="11"/>
  <c r="AE135" i="11"/>
  <c r="F135" i="11"/>
  <c r="E135" i="11"/>
  <c r="AE134" i="11"/>
  <c r="E134" i="11"/>
  <c r="H134" i="11" s="1"/>
  <c r="L134" i="11" s="1"/>
  <c r="V133" i="11"/>
  <c r="AB133" i="11" s="1"/>
  <c r="AC133" i="11" s="1"/>
  <c r="T133" i="11"/>
  <c r="E133" i="11"/>
  <c r="H133" i="11" s="1"/>
  <c r="L133" i="11" s="1"/>
  <c r="V132" i="11"/>
  <c r="AB132" i="11" s="1"/>
  <c r="AD132" i="11" s="1"/>
  <c r="AE132" i="11" s="1"/>
  <c r="T132" i="11"/>
  <c r="H132" i="11"/>
  <c r="L132" i="11" s="1"/>
  <c r="Q131" i="11"/>
  <c r="T131" i="11" s="1"/>
  <c r="E131" i="11"/>
  <c r="H131" i="11" s="1"/>
  <c r="L131" i="11" s="1"/>
  <c r="N131" i="11" s="1"/>
  <c r="O131" i="11" s="1"/>
  <c r="S130" i="11"/>
  <c r="R130" i="11"/>
  <c r="H130" i="11"/>
  <c r="L130" i="11" s="1"/>
  <c r="M130" i="11" s="1"/>
  <c r="S129" i="11"/>
  <c r="R129" i="11"/>
  <c r="Q129" i="11"/>
  <c r="P129" i="11"/>
  <c r="G129" i="11"/>
  <c r="F129" i="11"/>
  <c r="E129" i="11"/>
  <c r="S128" i="11"/>
  <c r="R128" i="11"/>
  <c r="Q128" i="11"/>
  <c r="P128" i="11"/>
  <c r="G128" i="11"/>
  <c r="F128" i="11"/>
  <c r="E128" i="11"/>
  <c r="S127" i="11"/>
  <c r="R127" i="11"/>
  <c r="G127" i="11"/>
  <c r="F127" i="11"/>
  <c r="E127" i="11"/>
  <c r="U122" i="11"/>
  <c r="Q122" i="11"/>
  <c r="P122" i="11"/>
  <c r="G122" i="11"/>
  <c r="F122" i="11"/>
  <c r="S120" i="11"/>
  <c r="S122" i="11" s="1"/>
  <c r="R119" i="11"/>
  <c r="E119" i="11"/>
  <c r="AA114" i="11"/>
  <c r="U114" i="11"/>
  <c r="D114" i="11"/>
  <c r="V112" i="11"/>
  <c r="AB112" i="11" s="1"/>
  <c r="AC112" i="11" s="1"/>
  <c r="T112" i="11"/>
  <c r="H112" i="11"/>
  <c r="L112" i="11" s="1"/>
  <c r="S111" i="11"/>
  <c r="H111" i="11"/>
  <c r="L111" i="11" s="1"/>
  <c r="M111" i="11" s="1"/>
  <c r="AE110" i="11"/>
  <c r="T110" i="11"/>
  <c r="F110" i="11"/>
  <c r="H110" i="11" s="1"/>
  <c r="L110" i="11" s="1"/>
  <c r="V109" i="11"/>
  <c r="T109" i="11"/>
  <c r="F109" i="11"/>
  <c r="H109" i="11" s="1"/>
  <c r="L109" i="11" s="1"/>
  <c r="M109" i="11" s="1"/>
  <c r="AE108" i="11"/>
  <c r="T108" i="11"/>
  <c r="G108" i="11"/>
  <c r="F108" i="11"/>
  <c r="Q107" i="11"/>
  <c r="T107" i="11" s="1"/>
  <c r="F107" i="11"/>
  <c r="E107" i="11"/>
  <c r="H107" i="11" s="1"/>
  <c r="L107" i="11" s="1"/>
  <c r="V106" i="11"/>
  <c r="T106" i="11"/>
  <c r="F106" i="11"/>
  <c r="H106" i="11" s="1"/>
  <c r="L106" i="11" s="1"/>
  <c r="N106" i="11" s="1"/>
  <c r="O106" i="11" s="1"/>
  <c r="V105" i="11"/>
  <c r="T105" i="11"/>
  <c r="E105" i="11"/>
  <c r="H105" i="11" s="1"/>
  <c r="L105" i="11" s="1"/>
  <c r="N105" i="11" s="1"/>
  <c r="O105" i="11" s="1"/>
  <c r="AE104" i="11"/>
  <c r="T104" i="11"/>
  <c r="H104" i="11"/>
  <c r="L104" i="11" s="1"/>
  <c r="V103" i="11"/>
  <c r="W103" i="11" s="1"/>
  <c r="T103" i="11"/>
  <c r="H103" i="11"/>
  <c r="L103" i="11" s="1"/>
  <c r="S102" i="11"/>
  <c r="H102" i="11"/>
  <c r="L102" i="11" s="1"/>
  <c r="V101" i="11"/>
  <c r="AB101" i="11" s="1"/>
  <c r="AC101" i="11" s="1"/>
  <c r="T101" i="11"/>
  <c r="F101" i="11"/>
  <c r="E101" i="11"/>
  <c r="H101" i="11" s="1"/>
  <c r="L101" i="11" s="1"/>
  <c r="M101" i="11" s="1"/>
  <c r="Q100" i="11"/>
  <c r="F100" i="11"/>
  <c r="E100" i="11"/>
  <c r="Q99" i="11"/>
  <c r="P99" i="11"/>
  <c r="F99" i="11"/>
  <c r="E99" i="11"/>
  <c r="AE98" i="11"/>
  <c r="T98" i="11"/>
  <c r="F98" i="11"/>
  <c r="H98" i="11" s="1"/>
  <c r="L98" i="11" s="1"/>
  <c r="N98" i="11" s="1"/>
  <c r="AE97" i="11"/>
  <c r="T97" i="11"/>
  <c r="H97" i="11"/>
  <c r="L97" i="11" s="1"/>
  <c r="Q96" i="11"/>
  <c r="F96" i="11"/>
  <c r="E96" i="11"/>
  <c r="H96" i="11" s="1"/>
  <c r="L96" i="11" s="1"/>
  <c r="V95" i="11"/>
  <c r="W95" i="11" s="1"/>
  <c r="T95" i="11"/>
  <c r="H95" i="11"/>
  <c r="L95" i="11" s="1"/>
  <c r="Q94" i="11"/>
  <c r="E94" i="11"/>
  <c r="H94" i="11" s="1"/>
  <c r="L94" i="11" s="1"/>
  <c r="R93" i="11"/>
  <c r="V93" i="11" s="1"/>
  <c r="H93" i="11"/>
  <c r="L93" i="11" s="1"/>
  <c r="R92" i="11"/>
  <c r="H92" i="11"/>
  <c r="L92" i="11" s="1"/>
  <c r="R91" i="11"/>
  <c r="H91" i="11"/>
  <c r="L91" i="11" s="1"/>
  <c r="V90" i="11"/>
  <c r="T90" i="11"/>
  <c r="H90" i="11"/>
  <c r="L90" i="11" s="1"/>
  <c r="N90" i="11" s="1"/>
  <c r="O90" i="11" s="1"/>
  <c r="V89" i="11"/>
  <c r="W89" i="11" s="1"/>
  <c r="T89" i="11"/>
  <c r="H89" i="11"/>
  <c r="L89" i="11" s="1"/>
  <c r="M89" i="11" s="1"/>
  <c r="S88" i="11"/>
  <c r="V88" i="11" s="1"/>
  <c r="AB88" i="11" s="1"/>
  <c r="E88" i="11"/>
  <c r="H88" i="11" s="1"/>
  <c r="L88" i="11" s="1"/>
  <c r="N88" i="11" s="1"/>
  <c r="O88" i="11" s="1"/>
  <c r="V87" i="11"/>
  <c r="T87" i="11"/>
  <c r="G87" i="11"/>
  <c r="F87" i="11"/>
  <c r="E87" i="11"/>
  <c r="V86" i="11"/>
  <c r="T86" i="11"/>
  <c r="H86" i="11"/>
  <c r="L86" i="11" s="1"/>
  <c r="R85" i="11"/>
  <c r="P85" i="11"/>
  <c r="F85" i="11"/>
  <c r="E85" i="11"/>
  <c r="AA82" i="11"/>
  <c r="U82" i="11"/>
  <c r="S82" i="11"/>
  <c r="Q82" i="11"/>
  <c r="P82" i="11"/>
  <c r="G82" i="11"/>
  <c r="D82" i="11"/>
  <c r="F80" i="11"/>
  <c r="F82" i="11" s="1"/>
  <c r="V79" i="11"/>
  <c r="W79" i="11" s="1"/>
  <c r="W82" i="11" s="1"/>
  <c r="R79" i="11"/>
  <c r="R82" i="11" s="1"/>
  <c r="E79" i="11"/>
  <c r="H79" i="11" s="1"/>
  <c r="L79" i="11" s="1"/>
  <c r="N79" i="11" s="1"/>
  <c r="O79" i="11" s="1"/>
  <c r="E78" i="11"/>
  <c r="H78" i="11" s="1"/>
  <c r="L78" i="11" s="1"/>
  <c r="N78" i="11" s="1"/>
  <c r="O78" i="11" s="1"/>
  <c r="U75" i="11"/>
  <c r="Q75" i="11"/>
  <c r="P75" i="11"/>
  <c r="V73" i="11"/>
  <c r="T73" i="11"/>
  <c r="S72" i="11"/>
  <c r="H72" i="11"/>
  <c r="L72" i="11" s="1"/>
  <c r="R71" i="11"/>
  <c r="T71" i="11" s="1"/>
  <c r="H71" i="11"/>
  <c r="L71" i="11" s="1"/>
  <c r="V70" i="11"/>
  <c r="AB70" i="11" s="1"/>
  <c r="T70" i="11"/>
  <c r="G70" i="11"/>
  <c r="F70" i="11"/>
  <c r="R69" i="11"/>
  <c r="V69" i="11" s="1"/>
  <c r="H69" i="11"/>
  <c r="L69" i="11" s="1"/>
  <c r="N69" i="11" s="1"/>
  <c r="O69" i="11" s="1"/>
  <c r="R68" i="11"/>
  <c r="L68" i="11"/>
  <c r="V67" i="11"/>
  <c r="T67" i="11"/>
  <c r="F67" i="11"/>
  <c r="E67" i="11"/>
  <c r="R66" i="11"/>
  <c r="T66" i="11" s="1"/>
  <c r="G66" i="11"/>
  <c r="F66" i="11"/>
  <c r="E66" i="11"/>
  <c r="E75" i="11" s="1"/>
  <c r="U64" i="11"/>
  <c r="V62" i="11"/>
  <c r="T62" i="11"/>
  <c r="H62" i="11"/>
  <c r="L62" i="11" s="1"/>
  <c r="N62" i="11" s="1"/>
  <c r="O62" i="11" s="1"/>
  <c r="AD61" i="11"/>
  <c r="AE61" i="11" s="1"/>
  <c r="AC61" i="11"/>
  <c r="V61" i="11"/>
  <c r="W61" i="11" s="1"/>
  <c r="T61" i="11"/>
  <c r="H61" i="11"/>
  <c r="L61" i="11" s="1"/>
  <c r="V60" i="11"/>
  <c r="AB60" i="11" s="1"/>
  <c r="T60" i="11"/>
  <c r="H60" i="11"/>
  <c r="L60" i="11" s="1"/>
  <c r="N60" i="11" s="1"/>
  <c r="O60" i="11" s="1"/>
  <c r="V59" i="11"/>
  <c r="T59" i="11"/>
  <c r="H59" i="11"/>
  <c r="L59" i="11" s="1"/>
  <c r="M59" i="11" s="1"/>
  <c r="V58" i="11"/>
  <c r="AB58" i="11" s="1"/>
  <c r="T58" i="11"/>
  <c r="H58" i="11"/>
  <c r="L58" i="11" s="1"/>
  <c r="N58" i="11" s="1"/>
  <c r="O58" i="11" s="1"/>
  <c r="Q57" i="11"/>
  <c r="G57" i="11"/>
  <c r="F57" i="11"/>
  <c r="E57" i="11"/>
  <c r="S56" i="11"/>
  <c r="R56" i="11"/>
  <c r="F56" i="11"/>
  <c r="E56" i="11"/>
  <c r="V55" i="11"/>
  <c r="AB55" i="11" s="1"/>
  <c r="T55" i="11"/>
  <c r="H55" i="11"/>
  <c r="L55" i="11" s="1"/>
  <c r="M55" i="11" s="1"/>
  <c r="Q54" i="11"/>
  <c r="P54" i="11"/>
  <c r="H54" i="11"/>
  <c r="L54" i="11" s="1"/>
  <c r="M54" i="11" s="1"/>
  <c r="V53" i="11"/>
  <c r="T53" i="11"/>
  <c r="H53" i="11"/>
  <c r="L53" i="11" s="1"/>
  <c r="N53" i="11" s="1"/>
  <c r="O53" i="11" s="1"/>
  <c r="S52" i="11"/>
  <c r="H52" i="11"/>
  <c r="L52" i="11" s="1"/>
  <c r="Q51" i="11"/>
  <c r="T51" i="11" s="1"/>
  <c r="G51" i="11"/>
  <c r="F51" i="11"/>
  <c r="E51" i="11"/>
  <c r="S50" i="11"/>
  <c r="R50" i="11"/>
  <c r="H50" i="11"/>
  <c r="L50" i="11" s="1"/>
  <c r="M50" i="11" s="1"/>
  <c r="R49" i="11"/>
  <c r="Q49" i="11"/>
  <c r="P49" i="11"/>
  <c r="H49" i="11"/>
  <c r="L49" i="11" s="1"/>
  <c r="M49" i="11" s="1"/>
  <c r="AD48" i="11"/>
  <c r="AE48" i="11" s="1"/>
  <c r="AC48" i="11"/>
  <c r="P48" i="11"/>
  <c r="E48" i="11"/>
  <c r="H48" i="11" s="1"/>
  <c r="G43" i="11"/>
  <c r="F43" i="11"/>
  <c r="V41" i="11"/>
  <c r="AB41" i="11" s="1"/>
  <c r="AD41" i="11" s="1"/>
  <c r="AE41" i="11" s="1"/>
  <c r="T41" i="11"/>
  <c r="H41" i="11"/>
  <c r="L41" i="11" s="1"/>
  <c r="M41" i="11" s="1"/>
  <c r="V40" i="11"/>
  <c r="AB40" i="11" s="1"/>
  <c r="T40" i="11"/>
  <c r="H40" i="11"/>
  <c r="L40" i="11" s="1"/>
  <c r="N40" i="11" s="1"/>
  <c r="O40" i="11" s="1"/>
  <c r="V39" i="11"/>
  <c r="AB39" i="11" s="1"/>
  <c r="AD39" i="11" s="1"/>
  <c r="AE39" i="11" s="1"/>
  <c r="T39" i="11"/>
  <c r="H39" i="11"/>
  <c r="L39" i="11" s="1"/>
  <c r="M39" i="11" s="1"/>
  <c r="V38" i="11"/>
  <c r="AB38" i="11" s="1"/>
  <c r="T38" i="11"/>
  <c r="L38" i="11"/>
  <c r="N38" i="11" s="1"/>
  <c r="O38" i="11" s="1"/>
  <c r="H38" i="11"/>
  <c r="R37" i="11"/>
  <c r="H37" i="11"/>
  <c r="L37" i="11" s="1"/>
  <c r="Q36" i="11"/>
  <c r="E36" i="11"/>
  <c r="H36" i="11" s="1"/>
  <c r="L36" i="11" s="1"/>
  <c r="AE35" i="11"/>
  <c r="H35" i="11"/>
  <c r="L35" i="11" s="1"/>
  <c r="AE34" i="11"/>
  <c r="E34" i="11"/>
  <c r="H34" i="11" s="1"/>
  <c r="L34" i="11" s="1"/>
  <c r="AE33" i="11"/>
  <c r="E33" i="11"/>
  <c r="H33" i="11" s="1"/>
  <c r="L33" i="11" s="1"/>
  <c r="S32" i="11"/>
  <c r="S43" i="11" s="1"/>
  <c r="R32" i="11"/>
  <c r="E32" i="11"/>
  <c r="H32" i="11" s="1"/>
  <c r="L32" i="11" s="1"/>
  <c r="Q31" i="11"/>
  <c r="P31" i="11"/>
  <c r="P43" i="11" s="1"/>
  <c r="E31" i="11"/>
  <c r="H31" i="11" s="1"/>
  <c r="G28" i="11"/>
  <c r="P26" i="11"/>
  <c r="V26" i="11" s="1"/>
  <c r="F26" i="11"/>
  <c r="E26" i="11"/>
  <c r="R25" i="11"/>
  <c r="T25" i="11" s="1"/>
  <c r="H25" i="11"/>
  <c r="L25" i="11" s="1"/>
  <c r="M25" i="11" s="1"/>
  <c r="AE24" i="11"/>
  <c r="F24" i="11"/>
  <c r="H24" i="11" s="1"/>
  <c r="L24" i="11" s="1"/>
  <c r="V23" i="11"/>
  <c r="T23" i="11"/>
  <c r="H23" i="11"/>
  <c r="L23" i="11" s="1"/>
  <c r="N23" i="11" s="1"/>
  <c r="R22" i="11"/>
  <c r="Q22" i="11"/>
  <c r="P22" i="11"/>
  <c r="H22" i="11"/>
  <c r="L22" i="11" s="1"/>
  <c r="M22" i="11" s="1"/>
  <c r="S21" i="11"/>
  <c r="R21" i="11"/>
  <c r="Q21" i="11"/>
  <c r="P21" i="11"/>
  <c r="F21" i="11"/>
  <c r="E21" i="11"/>
  <c r="E28" i="11" s="1"/>
  <c r="R20" i="11"/>
  <c r="V20" i="11" s="1"/>
  <c r="AB20" i="11" s="1"/>
  <c r="AD20" i="11" s="1"/>
  <c r="AE20" i="11" s="1"/>
  <c r="H20" i="11"/>
  <c r="L20" i="11" s="1"/>
  <c r="N20" i="11" s="1"/>
  <c r="O20" i="11" s="1"/>
  <c r="S19" i="11"/>
  <c r="H19" i="11"/>
  <c r="L19" i="11" s="1"/>
  <c r="N19" i="11" s="1"/>
  <c r="O19" i="11" s="1"/>
  <c r="V18" i="11"/>
  <c r="AB18" i="11" s="1"/>
  <c r="AD18" i="11" s="1"/>
  <c r="AE18" i="11" s="1"/>
  <c r="H18" i="11"/>
  <c r="L18" i="11" s="1"/>
  <c r="M18" i="11" s="1"/>
  <c r="V17" i="11"/>
  <c r="AB17" i="11" s="1"/>
  <c r="AD17" i="11" s="1"/>
  <c r="T17" i="11"/>
  <c r="H17" i="11"/>
  <c r="L17" i="11" s="1"/>
  <c r="N17" i="11" s="1"/>
  <c r="O17" i="11" s="1"/>
  <c r="V31" i="11" l="1"/>
  <c r="AB31" i="11" s="1"/>
  <c r="H214" i="11"/>
  <c r="L214" i="11" s="1"/>
  <c r="M214" i="11" s="1"/>
  <c r="F28" i="11"/>
  <c r="H26" i="11"/>
  <c r="L26" i="11" s="1"/>
  <c r="N26" i="11" s="1"/>
  <c r="O26" i="11" s="1"/>
  <c r="R43" i="11"/>
  <c r="M32" i="11"/>
  <c r="N32" i="11"/>
  <c r="O32" i="11" s="1"/>
  <c r="AC39" i="11"/>
  <c r="G75" i="11"/>
  <c r="H300" i="1"/>
  <c r="I300" i="1" s="1"/>
  <c r="J300" i="1" s="1"/>
  <c r="J302" i="1" s="1"/>
  <c r="I37" i="1" s="1"/>
  <c r="J37" i="1" s="1"/>
  <c r="H100" i="11"/>
  <c r="L100" i="11" s="1"/>
  <c r="N100" i="11" s="1"/>
  <c r="O100" i="11" s="1"/>
  <c r="G114" i="11"/>
  <c r="V181" i="11"/>
  <c r="AC183" i="11"/>
  <c r="H185" i="11"/>
  <c r="L185" i="11" s="1"/>
  <c r="M185" i="11" s="1"/>
  <c r="H70" i="11"/>
  <c r="L70" i="11" s="1"/>
  <c r="N70" i="11" s="1"/>
  <c r="V141" i="11"/>
  <c r="Y186" i="11"/>
  <c r="V216" i="11"/>
  <c r="AB216" i="11" s="1"/>
  <c r="H230" i="11"/>
  <c r="L230" i="11" s="1"/>
  <c r="N230" i="11" s="1"/>
  <c r="O230" i="11" s="1"/>
  <c r="N89" i="11"/>
  <c r="O89" i="11" s="1"/>
  <c r="W157" i="11"/>
  <c r="V197" i="11"/>
  <c r="W197" i="11" s="1"/>
  <c r="H57" i="11"/>
  <c r="L57" i="11" s="1"/>
  <c r="N57" i="11" s="1"/>
  <c r="O57" i="11" s="1"/>
  <c r="F114" i="11"/>
  <c r="W132" i="11"/>
  <c r="AD133" i="11"/>
  <c r="AE133" i="11" s="1"/>
  <c r="W172" i="11"/>
  <c r="H191" i="11"/>
  <c r="L191" i="11" s="1"/>
  <c r="N195" i="11"/>
  <c r="O195" i="11" s="1"/>
  <c r="Y195" i="11" s="1"/>
  <c r="M20" i="11"/>
  <c r="W39" i="11"/>
  <c r="T50" i="11"/>
  <c r="G64" i="11"/>
  <c r="T54" i="11"/>
  <c r="T79" i="11"/>
  <c r="T82" i="11" s="1"/>
  <c r="Y89" i="11"/>
  <c r="H99" i="11"/>
  <c r="L99" i="11" s="1"/>
  <c r="N99" i="11" s="1"/>
  <c r="O99" i="11" s="1"/>
  <c r="AB103" i="11"/>
  <c r="AD103" i="11" s="1"/>
  <c r="AE103" i="11" s="1"/>
  <c r="T130" i="11"/>
  <c r="AC172" i="11"/>
  <c r="T175" i="11"/>
  <c r="T216" i="11"/>
  <c r="I302" i="1"/>
  <c r="I43" i="1" s="1"/>
  <c r="E302" i="1"/>
  <c r="V82" i="11"/>
  <c r="W148" i="11"/>
  <c r="T218" i="11"/>
  <c r="T20" i="11"/>
  <c r="N41" i="11"/>
  <c r="X41" i="11" s="1"/>
  <c r="H51" i="11"/>
  <c r="L51" i="11" s="1"/>
  <c r="M51" i="11" s="1"/>
  <c r="V66" i="11"/>
  <c r="AB66" i="11" s="1"/>
  <c r="AD66" i="11" s="1"/>
  <c r="V107" i="11"/>
  <c r="W107" i="11" s="1"/>
  <c r="H128" i="11"/>
  <c r="L128" i="11" s="1"/>
  <c r="M128" i="11" s="1"/>
  <c r="V130" i="11"/>
  <c r="W130" i="11" s="1"/>
  <c r="H137" i="11"/>
  <c r="L137" i="11" s="1"/>
  <c r="M137" i="11" s="1"/>
  <c r="T141" i="11"/>
  <c r="X142" i="11"/>
  <c r="AD148" i="11"/>
  <c r="AE148" i="11" s="1"/>
  <c r="M150" i="11"/>
  <c r="V162" i="11"/>
  <c r="AB162" i="11" s="1"/>
  <c r="AC162" i="11" s="1"/>
  <c r="N178" i="11"/>
  <c r="O178" i="11" s="1"/>
  <c r="AD185" i="11"/>
  <c r="AE185" i="11" s="1"/>
  <c r="W206" i="11"/>
  <c r="T225" i="11"/>
  <c r="Q233" i="11"/>
  <c r="Y233" i="11" s="1"/>
  <c r="V25" i="11"/>
  <c r="AB25" i="11" s="1"/>
  <c r="AD25" i="11" s="1"/>
  <c r="AE25" i="11" s="1"/>
  <c r="M38" i="11"/>
  <c r="AC41" i="11"/>
  <c r="T49" i="11"/>
  <c r="W55" i="11"/>
  <c r="AD101" i="11"/>
  <c r="AE101" i="11" s="1"/>
  <c r="T147" i="11"/>
  <c r="N157" i="11"/>
  <c r="X157" i="11" s="1"/>
  <c r="V22" i="11"/>
  <c r="W22" i="11" s="1"/>
  <c r="N50" i="11"/>
  <c r="O50" i="11" s="1"/>
  <c r="H67" i="11"/>
  <c r="L67" i="11" s="1"/>
  <c r="N67" i="11" s="1"/>
  <c r="O67" i="11" s="1"/>
  <c r="V71" i="11"/>
  <c r="AB95" i="11"/>
  <c r="AC95" i="11" s="1"/>
  <c r="V129" i="11"/>
  <c r="W129" i="11" s="1"/>
  <c r="T136" i="11"/>
  <c r="V184" i="11"/>
  <c r="AC206" i="11"/>
  <c r="H226" i="11"/>
  <c r="T230" i="11"/>
  <c r="H237" i="11"/>
  <c r="N199" i="11"/>
  <c r="O199" i="11" s="1"/>
  <c r="M199" i="11"/>
  <c r="AB59" i="11"/>
  <c r="W59" i="11"/>
  <c r="M95" i="11"/>
  <c r="N95" i="11"/>
  <c r="O95" i="11" s="1"/>
  <c r="Y95" i="11" s="1"/>
  <c r="R122" i="11"/>
  <c r="V119" i="11"/>
  <c r="AB119" i="11" s="1"/>
  <c r="AD119" i="11" s="1"/>
  <c r="T119" i="11"/>
  <c r="AB144" i="11"/>
  <c r="W144" i="11"/>
  <c r="V165" i="11"/>
  <c r="AB165" i="11" s="1"/>
  <c r="T165" i="11"/>
  <c r="M229" i="11"/>
  <c r="N229" i="11"/>
  <c r="O229" i="11" s="1"/>
  <c r="S28" i="11"/>
  <c r="V19" i="11"/>
  <c r="X19" i="11" s="1"/>
  <c r="W23" i="11"/>
  <c r="AB23" i="11"/>
  <c r="AD23" i="11" s="1"/>
  <c r="AE23" i="11" s="1"/>
  <c r="V51" i="11"/>
  <c r="AB51" i="11" s="1"/>
  <c r="AC51" i="11" s="1"/>
  <c r="H66" i="11"/>
  <c r="L66" i="11" s="1"/>
  <c r="F75" i="11"/>
  <c r="AB86" i="11"/>
  <c r="AD86" i="11" s="1"/>
  <c r="AE86" i="11" s="1"/>
  <c r="W86" i="11"/>
  <c r="M103" i="11"/>
  <c r="N103" i="11"/>
  <c r="O103" i="11" s="1"/>
  <c r="Y103" i="11" s="1"/>
  <c r="V143" i="11"/>
  <c r="W143" i="11" s="1"/>
  <c r="Y143" i="11" s="1"/>
  <c r="T143" i="11"/>
  <c r="AC157" i="11"/>
  <c r="AD157" i="11"/>
  <c r="AE157" i="11" s="1"/>
  <c r="T205" i="11"/>
  <c r="V205" i="11"/>
  <c r="W205" i="11" s="1"/>
  <c r="M219" i="11"/>
  <c r="N219" i="11"/>
  <c r="O219" i="11" s="1"/>
  <c r="E233" i="11"/>
  <c r="H224" i="11"/>
  <c r="L224" i="11" s="1"/>
  <c r="R233" i="11"/>
  <c r="T229" i="11"/>
  <c r="T19" i="11"/>
  <c r="P28" i="11"/>
  <c r="T21" i="11"/>
  <c r="T26" i="11"/>
  <c r="E64" i="11"/>
  <c r="W71" i="11"/>
  <c r="AB71" i="11"/>
  <c r="AD71" i="11" s="1"/>
  <c r="AE71" i="11" s="1"/>
  <c r="N107" i="11"/>
  <c r="O107" i="11" s="1"/>
  <c r="M107" i="11"/>
  <c r="V169" i="11"/>
  <c r="X169" i="11" s="1"/>
  <c r="T169" i="11"/>
  <c r="V177" i="11"/>
  <c r="AB177" i="11" s="1"/>
  <c r="T177" i="11"/>
  <c r="T187" i="11"/>
  <c r="V187" i="11"/>
  <c r="W18" i="11"/>
  <c r="T31" i="11"/>
  <c r="Q64" i="11"/>
  <c r="V54" i="11"/>
  <c r="AB54" i="11" s="1"/>
  <c r="AD54" i="11" s="1"/>
  <c r="AE54" i="11" s="1"/>
  <c r="AD55" i="11"/>
  <c r="AE55" i="11" s="1"/>
  <c r="AC55" i="11"/>
  <c r="V56" i="11"/>
  <c r="AB56" i="11" s="1"/>
  <c r="AD56" i="11" s="1"/>
  <c r="AE56" i="11" s="1"/>
  <c r="T56" i="11"/>
  <c r="N86" i="11"/>
  <c r="O86" i="11" s="1"/>
  <c r="M86" i="11"/>
  <c r="V91" i="11"/>
  <c r="T91" i="11"/>
  <c r="X98" i="11"/>
  <c r="O98" i="11"/>
  <c r="Y98" i="11" s="1"/>
  <c r="T111" i="11"/>
  <c r="V111" i="11"/>
  <c r="N168" i="11"/>
  <c r="O168" i="11" s="1"/>
  <c r="M168" i="11"/>
  <c r="W215" i="11"/>
  <c r="AB215" i="11"/>
  <c r="AD215" i="11" s="1"/>
  <c r="AE215" i="11" s="1"/>
  <c r="M225" i="11"/>
  <c r="N225" i="11"/>
  <c r="O225" i="11" s="1"/>
  <c r="E82" i="11"/>
  <c r="W90" i="11"/>
  <c r="Y90" i="11" s="1"/>
  <c r="AB90" i="11"/>
  <c r="AC90" i="11" s="1"/>
  <c r="M96" i="11"/>
  <c r="N96" i="11"/>
  <c r="O96" i="11" s="1"/>
  <c r="AB109" i="11"/>
  <c r="AC109" i="11" s="1"/>
  <c r="W109" i="11"/>
  <c r="R153" i="11"/>
  <c r="H141" i="11"/>
  <c r="L141" i="11" s="1"/>
  <c r="N141" i="11" s="1"/>
  <c r="Q208" i="11"/>
  <c r="V156" i="11"/>
  <c r="W156" i="11" s="1"/>
  <c r="AC170" i="11"/>
  <c r="AD170" i="11"/>
  <c r="AE170" i="11" s="1"/>
  <c r="T178" i="11"/>
  <c r="V178" i="11"/>
  <c r="O200" i="11"/>
  <c r="Y200" i="11" s="1"/>
  <c r="X200" i="11"/>
  <c r="M252" i="11"/>
  <c r="N252" i="11" s="1"/>
  <c r="L254" i="11"/>
  <c r="Q28" i="11"/>
  <c r="T22" i="11"/>
  <c r="Q43" i="11"/>
  <c r="V50" i="11"/>
  <c r="AB50" i="11" s="1"/>
  <c r="S64" i="11"/>
  <c r="AB79" i="11"/>
  <c r="AB82" i="11" s="1"/>
  <c r="T88" i="11"/>
  <c r="X90" i="11"/>
  <c r="AD112" i="11"/>
  <c r="AE112" i="11" s="1"/>
  <c r="H129" i="11"/>
  <c r="L129" i="11" s="1"/>
  <c r="AB139" i="11"/>
  <c r="AD139" i="11" s="1"/>
  <c r="AE139" i="11" s="1"/>
  <c r="AD140" i="11"/>
  <c r="AE140" i="11" s="1"/>
  <c r="T149" i="11"/>
  <c r="T156" i="11"/>
  <c r="S208" i="11"/>
  <c r="W170" i="11"/>
  <c r="H175" i="11"/>
  <c r="L175" i="11" s="1"/>
  <c r="M175" i="11" s="1"/>
  <c r="V180" i="11"/>
  <c r="W180" i="11" s="1"/>
  <c r="T181" i="11"/>
  <c r="T184" i="11"/>
  <c r="M186" i="11"/>
  <c r="AC195" i="11"/>
  <c r="V199" i="11"/>
  <c r="AB199" i="11" s="1"/>
  <c r="M200" i="11"/>
  <c r="AB202" i="11"/>
  <c r="W202" i="11"/>
  <c r="N206" i="11"/>
  <c r="X206" i="11" s="1"/>
  <c r="T237" i="11"/>
  <c r="V237" i="11" s="1"/>
  <c r="AD237" i="11" s="1"/>
  <c r="AE237" i="11" s="1"/>
  <c r="R28" i="11"/>
  <c r="V32" i="11"/>
  <c r="W32" i="11" s="1"/>
  <c r="V36" i="11"/>
  <c r="AB36" i="11" s="1"/>
  <c r="AD36" i="11" s="1"/>
  <c r="AE36" i="11" s="1"/>
  <c r="W41" i="11"/>
  <c r="M58" i="11"/>
  <c r="M61" i="11"/>
  <c r="N61" i="11"/>
  <c r="X61" i="11" s="1"/>
  <c r="H87" i="11"/>
  <c r="L87" i="11" s="1"/>
  <c r="N87" i="11" s="1"/>
  <c r="M90" i="11"/>
  <c r="V99" i="11"/>
  <c r="T99" i="11"/>
  <c r="W101" i="11"/>
  <c r="N111" i="11"/>
  <c r="O111" i="11" s="1"/>
  <c r="F153" i="11"/>
  <c r="Q153" i="11"/>
  <c r="V131" i="11"/>
  <c r="AB131" i="11" s="1"/>
  <c r="H135" i="11"/>
  <c r="L135" i="11" s="1"/>
  <c r="H136" i="11"/>
  <c r="L136" i="11" s="1"/>
  <c r="M136" i="11" s="1"/>
  <c r="V136" i="11"/>
  <c r="AB136" i="11" s="1"/>
  <c r="M139" i="11"/>
  <c r="N139" i="11"/>
  <c r="O139" i="11" s="1"/>
  <c r="Y139" i="11" s="1"/>
  <c r="V147" i="11"/>
  <c r="AB147" i="11" s="1"/>
  <c r="AD147" i="11" s="1"/>
  <c r="AE147" i="11" s="1"/>
  <c r="AB163" i="11"/>
  <c r="W163" i="11"/>
  <c r="N165" i="11"/>
  <c r="O165" i="11" s="1"/>
  <c r="M169" i="11"/>
  <c r="M177" i="11"/>
  <c r="N177" i="11"/>
  <c r="O177" i="11" s="1"/>
  <c r="V179" i="11"/>
  <c r="W179" i="11" s="1"/>
  <c r="P221" i="11"/>
  <c r="V219" i="11"/>
  <c r="AB219" i="11" s="1"/>
  <c r="AC219" i="11" s="1"/>
  <c r="Q221" i="11"/>
  <c r="N227" i="11"/>
  <c r="O227" i="11" s="1"/>
  <c r="V230" i="11"/>
  <c r="W230" i="11" s="1"/>
  <c r="F64" i="11"/>
  <c r="H108" i="11"/>
  <c r="L108" i="11" s="1"/>
  <c r="M108" i="11" s="1"/>
  <c r="T128" i="11"/>
  <c r="V128" i="11"/>
  <c r="AB128" i="11" s="1"/>
  <c r="H160" i="11"/>
  <c r="L160" i="11" s="1"/>
  <c r="M160" i="11" s="1"/>
  <c r="H184" i="11"/>
  <c r="L184" i="11" s="1"/>
  <c r="N184" i="11" s="1"/>
  <c r="V227" i="11"/>
  <c r="AB227" i="11" s="1"/>
  <c r="H231" i="11"/>
  <c r="L231" i="11" s="1"/>
  <c r="M231" i="11" s="1"/>
  <c r="M52" i="11"/>
  <c r="N52" i="11"/>
  <c r="O52" i="11" s="1"/>
  <c r="M151" i="11"/>
  <c r="N151" i="11"/>
  <c r="O151" i="11" s="1"/>
  <c r="O23" i="11"/>
  <c r="X23" i="11"/>
  <c r="N35" i="11"/>
  <c r="M35" i="11"/>
  <c r="AC88" i="11"/>
  <c r="AD88" i="11"/>
  <c r="AE88" i="11" s="1"/>
  <c r="M144" i="11"/>
  <c r="N144" i="11"/>
  <c r="AC25" i="11"/>
  <c r="N33" i="11"/>
  <c r="M33" i="11"/>
  <c r="M36" i="11"/>
  <c r="N36" i="11"/>
  <c r="O36" i="11" s="1"/>
  <c r="N37" i="11"/>
  <c r="O37" i="11" s="1"/>
  <c r="M37" i="11"/>
  <c r="AD51" i="11"/>
  <c r="AE51" i="11" s="1"/>
  <c r="M70" i="11"/>
  <c r="N93" i="11"/>
  <c r="O93" i="11" s="1"/>
  <c r="M93" i="11"/>
  <c r="M24" i="11"/>
  <c r="N24" i="11"/>
  <c r="N134" i="11"/>
  <c r="M134" i="11"/>
  <c r="AC18" i="11"/>
  <c r="L31" i="11"/>
  <c r="H43" i="11"/>
  <c r="X53" i="11"/>
  <c r="W53" i="11"/>
  <c r="Y53" i="11" s="1"/>
  <c r="AD58" i="11"/>
  <c r="AE58" i="11" s="1"/>
  <c r="AC58" i="11"/>
  <c r="W67" i="11"/>
  <c r="W87" i="11"/>
  <c r="M91" i="11"/>
  <c r="N91" i="11"/>
  <c r="O91" i="11" s="1"/>
  <c r="AB93" i="11"/>
  <c r="W93" i="11"/>
  <c r="V102" i="11"/>
  <c r="T102" i="11"/>
  <c r="M104" i="11"/>
  <c r="N104" i="11"/>
  <c r="X105" i="11"/>
  <c r="AB105" i="11"/>
  <c r="X106" i="11"/>
  <c r="AB106" i="11"/>
  <c r="S114" i="11"/>
  <c r="M140" i="11"/>
  <c r="N140" i="11"/>
  <c r="X150" i="11"/>
  <c r="W150" i="11"/>
  <c r="Y150" i="11" s="1"/>
  <c r="M162" i="11"/>
  <c r="N162" i="11"/>
  <c r="O162" i="11" s="1"/>
  <c r="M173" i="11"/>
  <c r="N173" i="11"/>
  <c r="M180" i="11"/>
  <c r="N180" i="11"/>
  <c r="O180" i="11" s="1"/>
  <c r="W181" i="11"/>
  <c r="AB181" i="11"/>
  <c r="X182" i="11"/>
  <c r="AB182" i="11"/>
  <c r="W182" i="11"/>
  <c r="Y182" i="11" s="1"/>
  <c r="N192" i="11"/>
  <c r="O192" i="11" s="1"/>
  <c r="M192" i="11"/>
  <c r="M201" i="11"/>
  <c r="N201" i="11"/>
  <c r="O201" i="11" s="1"/>
  <c r="X17" i="11"/>
  <c r="AC17" i="11"/>
  <c r="N18" i="11"/>
  <c r="M19" i="11"/>
  <c r="X20" i="11"/>
  <c r="AC20" i="11"/>
  <c r="V21" i="11"/>
  <c r="N22" i="11"/>
  <c r="O22" i="11" s="1"/>
  <c r="N25" i="11"/>
  <c r="O25" i="11" s="1"/>
  <c r="W25" i="11"/>
  <c r="X26" i="11"/>
  <c r="W26" i="11"/>
  <c r="V37" i="11"/>
  <c r="T37" i="11"/>
  <c r="M40" i="11"/>
  <c r="AD40" i="11"/>
  <c r="AE40" i="11" s="1"/>
  <c r="AC40" i="11"/>
  <c r="O41" i="11"/>
  <c r="P64" i="11"/>
  <c r="V48" i="11"/>
  <c r="N49" i="11"/>
  <c r="O49" i="11" s="1"/>
  <c r="W51" i="11"/>
  <c r="N54" i="11"/>
  <c r="O54" i="11" s="1"/>
  <c r="H56" i="11"/>
  <c r="L56" i="11" s="1"/>
  <c r="V57" i="11"/>
  <c r="T57" i="11"/>
  <c r="M60" i="11"/>
  <c r="AD60" i="11"/>
  <c r="AE60" i="11" s="1"/>
  <c r="AC60" i="11"/>
  <c r="X62" i="11"/>
  <c r="R64" i="11"/>
  <c r="M69" i="11"/>
  <c r="T72" i="11"/>
  <c r="V72" i="11"/>
  <c r="S75" i="11"/>
  <c r="X73" i="11"/>
  <c r="W73" i="11"/>
  <c r="Y73" i="11" s="1"/>
  <c r="H80" i="11"/>
  <c r="L80" i="11" s="1"/>
  <c r="AB87" i="11"/>
  <c r="M88" i="11"/>
  <c r="M92" i="11"/>
  <c r="N92" i="11"/>
  <c r="O92" i="11" s="1"/>
  <c r="T93" i="11"/>
  <c r="N94" i="11"/>
  <c r="O94" i="11" s="1"/>
  <c r="M94" i="11"/>
  <c r="T96" i="11"/>
  <c r="V96" i="11"/>
  <c r="M97" i="11"/>
  <c r="N97" i="11"/>
  <c r="T100" i="11"/>
  <c r="V100" i="11"/>
  <c r="W105" i="11"/>
  <c r="Y105" i="11" s="1"/>
  <c r="M106" i="11"/>
  <c r="W106" i="11"/>
  <c r="Y106" i="11" s="1"/>
  <c r="M110" i="11"/>
  <c r="N110" i="11"/>
  <c r="M112" i="11"/>
  <c r="N112" i="11"/>
  <c r="E153" i="11"/>
  <c r="H127" i="11"/>
  <c r="T127" i="11"/>
  <c r="V127" i="11"/>
  <c r="M131" i="11"/>
  <c r="T137" i="11"/>
  <c r="V137" i="11"/>
  <c r="W141" i="11"/>
  <c r="AB141" i="11"/>
  <c r="M143" i="11"/>
  <c r="M145" i="11"/>
  <c r="N145" i="11"/>
  <c r="N146" i="11"/>
  <c r="O146" i="11" s="1"/>
  <c r="Y146" i="11" s="1"/>
  <c r="M146" i="11"/>
  <c r="E208" i="11"/>
  <c r="N161" i="11"/>
  <c r="O161" i="11" s="1"/>
  <c r="M161" i="11"/>
  <c r="N170" i="11"/>
  <c r="W171" i="11"/>
  <c r="Y171" i="11" s="1"/>
  <c r="X171" i="11"/>
  <c r="AB171" i="11"/>
  <c r="AC171" i="11" s="1"/>
  <c r="W216" i="11"/>
  <c r="M17" i="11"/>
  <c r="W17" i="11"/>
  <c r="AE17" i="11"/>
  <c r="W20" i="11"/>
  <c r="Y20" i="11" s="1"/>
  <c r="M23" i="11"/>
  <c r="W31" i="11"/>
  <c r="AB32" i="11"/>
  <c r="W38" i="11"/>
  <c r="Y38" i="11" s="1"/>
  <c r="X38" i="11"/>
  <c r="T48" i="11"/>
  <c r="M53" i="11"/>
  <c r="AB53" i="11"/>
  <c r="X58" i="11"/>
  <c r="W58" i="11"/>
  <c r="Y58" i="11" s="1"/>
  <c r="M62" i="11"/>
  <c r="W62" i="11"/>
  <c r="Y62" i="11" s="1"/>
  <c r="AB67" i="11"/>
  <c r="R75" i="11"/>
  <c r="T68" i="11"/>
  <c r="V68" i="11"/>
  <c r="AB69" i="11"/>
  <c r="W69" i="11"/>
  <c r="Y69" i="11" s="1"/>
  <c r="AC70" i="11"/>
  <c r="AD70" i="11"/>
  <c r="AE70" i="11" s="1"/>
  <c r="M71" i="11"/>
  <c r="N71" i="11"/>
  <c r="O71" i="11" s="1"/>
  <c r="Y71" i="11" s="1"/>
  <c r="AB73" i="11"/>
  <c r="M79" i="11"/>
  <c r="Y79" i="11"/>
  <c r="Y82" i="11" s="1"/>
  <c r="V85" i="11"/>
  <c r="T85" i="11"/>
  <c r="N101" i="11"/>
  <c r="N102" i="11"/>
  <c r="O102" i="11" s="1"/>
  <c r="M102" i="11"/>
  <c r="M105" i="11"/>
  <c r="N128" i="11"/>
  <c r="O128" i="11" s="1"/>
  <c r="T129" i="11"/>
  <c r="M132" i="11"/>
  <c r="N132" i="11"/>
  <c r="AC132" i="11"/>
  <c r="M133" i="11"/>
  <c r="N133" i="11"/>
  <c r="AB138" i="11"/>
  <c r="W138" i="11"/>
  <c r="Y138" i="11" s="1"/>
  <c r="X138" i="11"/>
  <c r="N147" i="11"/>
  <c r="O147" i="11" s="1"/>
  <c r="H156" i="11"/>
  <c r="M159" i="11"/>
  <c r="N159" i="11"/>
  <c r="M179" i="11"/>
  <c r="N179" i="11"/>
  <c r="O179" i="11" s="1"/>
  <c r="M183" i="11"/>
  <c r="N183" i="11"/>
  <c r="M188" i="11"/>
  <c r="N188" i="11"/>
  <c r="M189" i="11"/>
  <c r="N189" i="11"/>
  <c r="O189" i="11" s="1"/>
  <c r="Y194" i="11"/>
  <c r="W198" i="11"/>
  <c r="H21" i="11"/>
  <c r="L21" i="11" s="1"/>
  <c r="AB26" i="11"/>
  <c r="E43" i="11"/>
  <c r="T32" i="11"/>
  <c r="N39" i="11"/>
  <c r="W40" i="11"/>
  <c r="Y40" i="11" s="1"/>
  <c r="X40" i="11"/>
  <c r="L48" i="11"/>
  <c r="V49" i="11"/>
  <c r="V52" i="11"/>
  <c r="T52" i="11"/>
  <c r="N55" i="11"/>
  <c r="N59" i="11"/>
  <c r="W60" i="11"/>
  <c r="Y60" i="11" s="1"/>
  <c r="X60" i="11"/>
  <c r="AB62" i="11"/>
  <c r="T69" i="11"/>
  <c r="M72" i="11"/>
  <c r="N72" i="11"/>
  <c r="O72" i="11" s="1"/>
  <c r="M78" i="11"/>
  <c r="AC79" i="11"/>
  <c r="AC82" i="11" s="1"/>
  <c r="E114" i="11"/>
  <c r="H85" i="11"/>
  <c r="X89" i="11"/>
  <c r="AB89" i="11"/>
  <c r="T92" i="11"/>
  <c r="V92" i="11"/>
  <c r="Q114" i="11"/>
  <c r="V94" i="11"/>
  <c r="T94" i="11"/>
  <c r="M98" i="11"/>
  <c r="N109" i="11"/>
  <c r="P114" i="11"/>
  <c r="AC119" i="11"/>
  <c r="G153" i="11"/>
  <c r="T138" i="11"/>
  <c r="AC139" i="11"/>
  <c r="AB146" i="11"/>
  <c r="AD149" i="11"/>
  <c r="AE149" i="11" s="1"/>
  <c r="P153" i="11"/>
  <c r="V175" i="11"/>
  <c r="V176" i="11"/>
  <c r="T176" i="11"/>
  <c r="M190" i="11"/>
  <c r="N190" i="11"/>
  <c r="O190" i="11" s="1"/>
  <c r="M191" i="11"/>
  <c r="N191" i="11"/>
  <c r="M194" i="11"/>
  <c r="M197" i="11"/>
  <c r="N197" i="11"/>
  <c r="O197" i="11" s="1"/>
  <c r="M198" i="11"/>
  <c r="N198" i="11"/>
  <c r="O198" i="11" s="1"/>
  <c r="M203" i="11"/>
  <c r="N203" i="11"/>
  <c r="N204" i="11"/>
  <c r="O204" i="11" s="1"/>
  <c r="M204" i="11"/>
  <c r="M205" i="11"/>
  <c r="N205" i="11"/>
  <c r="O205" i="11" s="1"/>
  <c r="V228" i="11"/>
  <c r="T228" i="11"/>
  <c r="AC31" i="11"/>
  <c r="AD31" i="11"/>
  <c r="M34" i="11"/>
  <c r="N34" i="11"/>
  <c r="O34" i="11" s="1"/>
  <c r="AD38" i="11"/>
  <c r="AE38" i="11" s="1"/>
  <c r="AC38" i="11"/>
  <c r="M68" i="11"/>
  <c r="N68" i="11"/>
  <c r="O68" i="11" s="1"/>
  <c r="X69" i="11"/>
  <c r="W88" i="11"/>
  <c r="Y88" i="11" s="1"/>
  <c r="X88" i="11"/>
  <c r="M202" i="11"/>
  <c r="N202" i="11"/>
  <c r="M216" i="11"/>
  <c r="N216" i="11"/>
  <c r="O216" i="11" s="1"/>
  <c r="V224" i="11"/>
  <c r="T224" i="11"/>
  <c r="P233" i="11"/>
  <c r="X233" i="11" s="1"/>
  <c r="L226" i="11"/>
  <c r="AC226" i="11"/>
  <c r="AD226" i="11"/>
  <c r="AE226" i="11" s="1"/>
  <c r="T36" i="11"/>
  <c r="W70" i="11"/>
  <c r="X86" i="11"/>
  <c r="AD90" i="11"/>
  <c r="AE90" i="11" s="1"/>
  <c r="T120" i="11"/>
  <c r="T122" i="11" s="1"/>
  <c r="T123" i="11" s="1"/>
  <c r="V120" i="11"/>
  <c r="N130" i="11"/>
  <c r="O130" i="11" s="1"/>
  <c r="M138" i="11"/>
  <c r="T142" i="11"/>
  <c r="N148" i="11"/>
  <c r="M149" i="11"/>
  <c r="V151" i="11"/>
  <c r="O157" i="11"/>
  <c r="Y157" i="11" s="1"/>
  <c r="N158" i="11"/>
  <c r="O158" i="11" s="1"/>
  <c r="M164" i="11"/>
  <c r="AC164" i="11"/>
  <c r="AD164" i="11"/>
  <c r="AE164" i="11" s="1"/>
  <c r="G208" i="11"/>
  <c r="H166" i="11"/>
  <c r="L166" i="11" s="1"/>
  <c r="T167" i="11"/>
  <c r="V167" i="11"/>
  <c r="H172" i="11"/>
  <c r="L172" i="11" s="1"/>
  <c r="F208" i="11"/>
  <c r="M176" i="11"/>
  <c r="AC177" i="11"/>
  <c r="AD177" i="11"/>
  <c r="AE177" i="11" s="1"/>
  <c r="M181" i="11"/>
  <c r="N181" i="11"/>
  <c r="O181" i="11" s="1"/>
  <c r="M182" i="11"/>
  <c r="M193" i="11"/>
  <c r="N193" i="11"/>
  <c r="W196" i="11"/>
  <c r="AB196" i="11"/>
  <c r="X79" i="11"/>
  <c r="X82" i="11" s="1"/>
  <c r="R114" i="11"/>
  <c r="H119" i="11"/>
  <c r="E122" i="11"/>
  <c r="S153" i="11"/>
  <c r="AB142" i="11"/>
  <c r="W142" i="11"/>
  <c r="Y142" i="11" s="1"/>
  <c r="W149" i="11"/>
  <c r="Y149" i="11" s="1"/>
  <c r="X149" i="11"/>
  <c r="W161" i="11"/>
  <c r="X161" i="11"/>
  <c r="AB161" i="11"/>
  <c r="N167" i="11"/>
  <c r="O167" i="11" s="1"/>
  <c r="M167" i="11"/>
  <c r="V168" i="11"/>
  <c r="T168" i="11"/>
  <c r="M174" i="11"/>
  <c r="N174" i="11"/>
  <c r="AB184" i="11"/>
  <c r="W184" i="11"/>
  <c r="AD192" i="11"/>
  <c r="AE192" i="11" s="1"/>
  <c r="AC192" i="11"/>
  <c r="X199" i="11"/>
  <c r="N218" i="11"/>
  <c r="M218" i="11"/>
  <c r="W112" i="11"/>
  <c r="W133" i="11"/>
  <c r="W140" i="11"/>
  <c r="V158" i="11"/>
  <c r="P208" i="11"/>
  <c r="V160" i="11"/>
  <c r="N163" i="11"/>
  <c r="W164" i="11"/>
  <c r="Y164" i="11" s="1"/>
  <c r="X164" i="11"/>
  <c r="M171" i="11"/>
  <c r="W177" i="11"/>
  <c r="X178" i="11"/>
  <c r="X186" i="11"/>
  <c r="N187" i="11"/>
  <c r="O187" i="11" s="1"/>
  <c r="T190" i="11"/>
  <c r="V190" i="11"/>
  <c r="W192" i="11"/>
  <c r="Y192" i="11" s="1"/>
  <c r="X194" i="11"/>
  <c r="AB194" i="11"/>
  <c r="X195" i="11"/>
  <c r="AC200" i="11"/>
  <c r="AD200" i="11"/>
  <c r="AE200" i="11" s="1"/>
  <c r="T201" i="11"/>
  <c r="V201" i="11"/>
  <c r="W204" i="11"/>
  <c r="AB204" i="11"/>
  <c r="AB205" i="11"/>
  <c r="H215" i="11"/>
  <c r="E221" i="11"/>
  <c r="W231" i="11"/>
  <c r="AB231" i="11"/>
  <c r="R208" i="11"/>
  <c r="T189" i="11"/>
  <c r="V189" i="11"/>
  <c r="AC203" i="11"/>
  <c r="AD203" i="11"/>
  <c r="AE203" i="11" s="1"/>
  <c r="M217" i="11"/>
  <c r="N217" i="11"/>
  <c r="O217" i="11" s="1"/>
  <c r="W185" i="11"/>
  <c r="T199" i="11"/>
  <c r="W214" i="11"/>
  <c r="AB214" i="11"/>
  <c r="V232" i="11"/>
  <c r="T232" i="11"/>
  <c r="M250" i="11"/>
  <c r="J254" i="11"/>
  <c r="H196" i="11"/>
  <c r="L196" i="11" s="1"/>
  <c r="W225" i="11"/>
  <c r="AB225" i="11"/>
  <c r="W203" i="11"/>
  <c r="F221" i="11"/>
  <c r="S221" i="11"/>
  <c r="T217" i="11"/>
  <c r="V217" i="11"/>
  <c r="AB218" i="11"/>
  <c r="W218" i="11"/>
  <c r="S233" i="11"/>
  <c r="T227" i="11"/>
  <c r="M228" i="11"/>
  <c r="F233" i="11"/>
  <c r="W226" i="11"/>
  <c r="V229" i="11"/>
  <c r="M230" i="11" l="1"/>
  <c r="AD109" i="11"/>
  <c r="AE109" i="11" s="1"/>
  <c r="X25" i="11"/>
  <c r="W128" i="11"/>
  <c r="Y26" i="11"/>
  <c r="X131" i="11"/>
  <c r="W199" i="11"/>
  <c r="Y199" i="11" s="1"/>
  <c r="X143" i="11"/>
  <c r="AD95" i="11"/>
  <c r="AE95" i="11" s="1"/>
  <c r="M26" i="11"/>
  <c r="N214" i="11"/>
  <c r="X214" i="11" s="1"/>
  <c r="X227" i="11"/>
  <c r="AB180" i="11"/>
  <c r="AC180" i="11" s="1"/>
  <c r="N51" i="11"/>
  <c r="O51" i="11" s="1"/>
  <c r="Y51" i="11" s="1"/>
  <c r="V28" i="11"/>
  <c r="M141" i="11"/>
  <c r="M57" i="11"/>
  <c r="AB22" i="11"/>
  <c r="AD22" i="11" s="1"/>
  <c r="AE22" i="11" s="1"/>
  <c r="X91" i="11"/>
  <c r="W227" i="11"/>
  <c r="Y227" i="11" s="1"/>
  <c r="X139" i="11"/>
  <c r="AB130" i="11"/>
  <c r="AD130" i="11" s="1"/>
  <c r="AE130" i="11" s="1"/>
  <c r="M100" i="11"/>
  <c r="AB179" i="11"/>
  <c r="AC179" i="11" s="1"/>
  <c r="X165" i="11"/>
  <c r="M184" i="11"/>
  <c r="H233" i="11"/>
  <c r="AC66" i="11"/>
  <c r="AC56" i="11"/>
  <c r="X50" i="11"/>
  <c r="I42" i="1"/>
  <c r="J42" i="1" s="1"/>
  <c r="E306" i="1"/>
  <c r="I38" i="1"/>
  <c r="J38" i="1" s="1"/>
  <c r="AB129" i="11"/>
  <c r="AD129" i="11" s="1"/>
  <c r="AE129" i="11" s="1"/>
  <c r="N185" i="11"/>
  <c r="N108" i="11"/>
  <c r="X108" i="11" s="1"/>
  <c r="J43" i="1"/>
  <c r="N175" i="11"/>
  <c r="O175" i="11" s="1"/>
  <c r="M99" i="11"/>
  <c r="Y107" i="11"/>
  <c r="G306" i="1"/>
  <c r="X219" i="11"/>
  <c r="Y180" i="11"/>
  <c r="M67" i="11"/>
  <c r="W131" i="11"/>
  <c r="Y131" i="11" s="1"/>
  <c r="Y23" i="11"/>
  <c r="Y177" i="11"/>
  <c r="H82" i="11"/>
  <c r="W136" i="11"/>
  <c r="AB107" i="11"/>
  <c r="AC107" i="11" s="1"/>
  <c r="Y181" i="11"/>
  <c r="T221" i="11"/>
  <c r="W162" i="11"/>
  <c r="Y162" i="11" s="1"/>
  <c r="AB197" i="11"/>
  <c r="AC197" i="11" s="1"/>
  <c r="AC103" i="11"/>
  <c r="H75" i="11"/>
  <c r="X225" i="11"/>
  <c r="X177" i="11"/>
  <c r="N160" i="11"/>
  <c r="O160" i="11" s="1"/>
  <c r="Y197" i="11"/>
  <c r="X67" i="11"/>
  <c r="Y230" i="11"/>
  <c r="F306" i="1"/>
  <c r="X107" i="11"/>
  <c r="AD162" i="11"/>
  <c r="AE162" i="11" s="1"/>
  <c r="Y225" i="11"/>
  <c r="X230" i="11"/>
  <c r="Y161" i="11"/>
  <c r="F236" i="11"/>
  <c r="F239" i="11" s="1"/>
  <c r="W66" i="11"/>
  <c r="Y198" i="11"/>
  <c r="X180" i="11"/>
  <c r="AC23" i="11"/>
  <c r="AB156" i="11"/>
  <c r="AC156" i="11" s="1"/>
  <c r="N136" i="11"/>
  <c r="O136" i="11" s="1"/>
  <c r="Y136" i="11" s="1"/>
  <c r="AC36" i="11"/>
  <c r="N137" i="11"/>
  <c r="O137" i="11" s="1"/>
  <c r="X93" i="11"/>
  <c r="Y179" i="11"/>
  <c r="Q236" i="11"/>
  <c r="Q239" i="11" s="1"/>
  <c r="Y216" i="11"/>
  <c r="Y67" i="11"/>
  <c r="V221" i="11"/>
  <c r="O214" i="11"/>
  <c r="Y214" i="11" s="1"/>
  <c r="W169" i="11"/>
  <c r="Y169" i="11" s="1"/>
  <c r="X103" i="11"/>
  <c r="AC71" i="11"/>
  <c r="AC147" i="11"/>
  <c r="W56" i="11"/>
  <c r="W50" i="11"/>
  <c r="Y50" i="11" s="1"/>
  <c r="Y93" i="11"/>
  <c r="M87" i="11"/>
  <c r="O141" i="11"/>
  <c r="X141" i="11"/>
  <c r="O87" i="11"/>
  <c r="Y87" i="11" s="1"/>
  <c r="X87" i="11"/>
  <c r="H28" i="11"/>
  <c r="AD163" i="11"/>
  <c r="AE163" i="11" s="1"/>
  <c r="AC163" i="11"/>
  <c r="AD202" i="11"/>
  <c r="AE202" i="11" s="1"/>
  <c r="AC202" i="11"/>
  <c r="AB111" i="11"/>
  <c r="W111" i="11"/>
  <c r="Y111" i="11" s="1"/>
  <c r="W187" i="11"/>
  <c r="AB187" i="11"/>
  <c r="W219" i="11"/>
  <c r="Y219" i="11" s="1"/>
  <c r="N231" i="11"/>
  <c r="V122" i="11"/>
  <c r="V123" i="11" s="1"/>
  <c r="P236" i="11"/>
  <c r="P239" i="11" s="1"/>
  <c r="AD79" i="11"/>
  <c r="AD82" i="11" s="1"/>
  <c r="E236" i="11"/>
  <c r="E239" i="11" s="1"/>
  <c r="W165" i="11"/>
  <c r="Y165" i="11" s="1"/>
  <c r="R236" i="11"/>
  <c r="R239" i="11" s="1"/>
  <c r="AC54" i="11"/>
  <c r="AB99" i="11"/>
  <c r="W99" i="11"/>
  <c r="Y99" i="11" s="1"/>
  <c r="AB91" i="11"/>
  <c r="W91" i="11"/>
  <c r="Y91" i="11" s="1"/>
  <c r="AD59" i="11"/>
  <c r="AE59" i="11" s="1"/>
  <c r="AC59" i="11"/>
  <c r="AD219" i="11"/>
  <c r="AE219" i="11" s="1"/>
  <c r="X187" i="11"/>
  <c r="Y205" i="11"/>
  <c r="AB169" i="11"/>
  <c r="AC169" i="11" s="1"/>
  <c r="W147" i="11"/>
  <c r="Y147" i="11" s="1"/>
  <c r="X99" i="11"/>
  <c r="W119" i="11"/>
  <c r="AB143" i="11"/>
  <c r="AD143" i="11" s="1"/>
  <c r="AE143" i="11" s="1"/>
  <c r="G236" i="11"/>
  <c r="G239" i="11" s="1"/>
  <c r="Y130" i="11"/>
  <c r="Y32" i="11"/>
  <c r="X198" i="11"/>
  <c r="Y141" i="11"/>
  <c r="M135" i="11"/>
  <c r="N135" i="11"/>
  <c r="X32" i="11"/>
  <c r="AD199" i="11"/>
  <c r="AE199" i="11" s="1"/>
  <c r="AC199" i="11"/>
  <c r="AB178" i="11"/>
  <c r="W178" i="11"/>
  <c r="Y178" i="11" s="1"/>
  <c r="M66" i="11"/>
  <c r="N66" i="11"/>
  <c r="N75" i="11" s="1"/>
  <c r="AD144" i="11"/>
  <c r="AE144" i="11" s="1"/>
  <c r="AC144" i="11"/>
  <c r="AC215" i="11"/>
  <c r="O206" i="11"/>
  <c r="Y206" i="11" s="1"/>
  <c r="AB230" i="11"/>
  <c r="AC230" i="11" s="1"/>
  <c r="Y187" i="11"/>
  <c r="X95" i="11"/>
  <c r="T208" i="11"/>
  <c r="X111" i="11"/>
  <c r="AC86" i="11"/>
  <c r="X71" i="11"/>
  <c r="T233" i="11"/>
  <c r="X51" i="11"/>
  <c r="W36" i="11"/>
  <c r="Y36" i="11" s="1"/>
  <c r="T75" i="11"/>
  <c r="W54" i="11"/>
  <c r="Y54" i="11" s="1"/>
  <c r="S236" i="11"/>
  <c r="S239" i="11" s="1"/>
  <c r="O61" i="11"/>
  <c r="Y61" i="11" s="1"/>
  <c r="Y41" i="11"/>
  <c r="T43" i="11"/>
  <c r="N129" i="11"/>
  <c r="M129" i="11"/>
  <c r="N224" i="11"/>
  <c r="O224" i="11" s="1"/>
  <c r="M224" i="11"/>
  <c r="Y86" i="11"/>
  <c r="W19" i="11"/>
  <c r="Y19" i="11" s="1"/>
  <c r="AB19" i="11"/>
  <c r="M196" i="11"/>
  <c r="N196" i="11"/>
  <c r="W201" i="11"/>
  <c r="Y201" i="11" s="1"/>
  <c r="X201" i="11"/>
  <c r="AB201" i="11"/>
  <c r="AB168" i="11"/>
  <c r="W168" i="11"/>
  <c r="Y168" i="11" s="1"/>
  <c r="X168" i="11"/>
  <c r="N166" i="11"/>
  <c r="M166" i="11"/>
  <c r="AE31" i="11"/>
  <c r="X191" i="11"/>
  <c r="O191" i="11"/>
  <c r="Y191" i="11" s="1"/>
  <c r="AB94" i="11"/>
  <c r="W94" i="11"/>
  <c r="Y94" i="11" s="1"/>
  <c r="X94" i="11"/>
  <c r="AD62" i="11"/>
  <c r="AE62" i="11" s="1"/>
  <c r="AC62" i="11"/>
  <c r="X59" i="11"/>
  <c r="O59" i="11"/>
  <c r="Y59" i="11" s="1"/>
  <c r="AC50" i="11"/>
  <c r="AD50" i="11"/>
  <c r="AE50" i="11" s="1"/>
  <c r="H208" i="11"/>
  <c r="L156" i="11"/>
  <c r="X132" i="11"/>
  <c r="O132" i="11"/>
  <c r="Y132" i="11" s="1"/>
  <c r="AD107" i="11"/>
  <c r="AE107" i="11" s="1"/>
  <c r="V114" i="11"/>
  <c r="AB85" i="11"/>
  <c r="W85" i="11"/>
  <c r="AB68" i="11"/>
  <c r="X68" i="11"/>
  <c r="W68" i="11"/>
  <c r="Y68" i="11" s="1"/>
  <c r="X170" i="11"/>
  <c r="O170" i="11"/>
  <c r="Y170" i="11" s="1"/>
  <c r="AC141" i="11"/>
  <c r="AD141" i="11"/>
  <c r="AE141" i="11" s="1"/>
  <c r="W96" i="11"/>
  <c r="Y96" i="11" s="1"/>
  <c r="AB96" i="11"/>
  <c r="X96" i="11"/>
  <c r="V75" i="11"/>
  <c r="AE66" i="11"/>
  <c r="M56" i="11"/>
  <c r="N56" i="11"/>
  <c r="M31" i="11"/>
  <c r="N31" i="11"/>
  <c r="O70" i="11"/>
  <c r="X70" i="11"/>
  <c r="X35" i="11"/>
  <c r="O35" i="11"/>
  <c r="Y35" i="11" s="1"/>
  <c r="AC225" i="11"/>
  <c r="AD225" i="11"/>
  <c r="AE225" i="11" s="1"/>
  <c r="AC204" i="11"/>
  <c r="AD204" i="11"/>
  <c r="AE204" i="11" s="1"/>
  <c r="AD194" i="11"/>
  <c r="AE194" i="11" s="1"/>
  <c r="AC194" i="11"/>
  <c r="AC142" i="11"/>
  <c r="AD142" i="11"/>
  <c r="AE142" i="11" s="1"/>
  <c r="W151" i="11"/>
  <c r="Y151" i="11" s="1"/>
  <c r="X151" i="11"/>
  <c r="AB151" i="11"/>
  <c r="X109" i="11"/>
  <c r="O109" i="11"/>
  <c r="Y109" i="11" s="1"/>
  <c r="AE79" i="11"/>
  <c r="AE82" i="11" s="1"/>
  <c r="N21" i="11"/>
  <c r="M21" i="11"/>
  <c r="X183" i="11"/>
  <c r="O183" i="11"/>
  <c r="Y183" i="11" s="1"/>
  <c r="O133" i="11"/>
  <c r="Y133" i="11" s="1"/>
  <c r="X133" i="11"/>
  <c r="AD73" i="11"/>
  <c r="AE73" i="11" s="1"/>
  <c r="AC73" i="11"/>
  <c r="AC165" i="11"/>
  <c r="AD165" i="11"/>
  <c r="AE165" i="11" s="1"/>
  <c r="O145" i="11"/>
  <c r="Y145" i="11" s="1"/>
  <c r="X145" i="11"/>
  <c r="V153" i="11"/>
  <c r="AB127" i="11"/>
  <c r="W127" i="11"/>
  <c r="AB57" i="11"/>
  <c r="X57" i="11"/>
  <c r="W57" i="11"/>
  <c r="Y57" i="11" s="1"/>
  <c r="AB37" i="11"/>
  <c r="X37" i="11"/>
  <c r="W37" i="11"/>
  <c r="Y37" i="11" s="1"/>
  <c r="AD128" i="11"/>
  <c r="AE128" i="11" s="1"/>
  <c r="AC128" i="11"/>
  <c r="AD105" i="11"/>
  <c r="AE105" i="11" s="1"/>
  <c r="AC105" i="11"/>
  <c r="AD93" i="11"/>
  <c r="AE93" i="11" s="1"/>
  <c r="AC93" i="11"/>
  <c r="X22" i="11"/>
  <c r="AD214" i="11"/>
  <c r="AC214" i="11"/>
  <c r="AB189" i="11"/>
  <c r="W189" i="11"/>
  <c r="Y189" i="11" s="1"/>
  <c r="X189" i="11"/>
  <c r="X162" i="11"/>
  <c r="AC227" i="11"/>
  <c r="AD227" i="11"/>
  <c r="AE227" i="11" s="1"/>
  <c r="AC205" i="11"/>
  <c r="AD205" i="11"/>
  <c r="AE205" i="11" s="1"/>
  <c r="Y204" i="11"/>
  <c r="X192" i="11"/>
  <c r="AC184" i="11"/>
  <c r="AD184" i="11"/>
  <c r="AE184" i="11" s="1"/>
  <c r="AC161" i="11"/>
  <c r="AD161" i="11"/>
  <c r="AE161" i="11" s="1"/>
  <c r="X147" i="11"/>
  <c r="AD196" i="11"/>
  <c r="AE196" i="11" s="1"/>
  <c r="AC196" i="11"/>
  <c r="X193" i="11"/>
  <c r="O193" i="11"/>
  <c r="Y193" i="11" s="1"/>
  <c r="X148" i="11"/>
  <c r="O148" i="11"/>
  <c r="Y148" i="11" s="1"/>
  <c r="AB120" i="11"/>
  <c r="X120" i="11"/>
  <c r="W120" i="11"/>
  <c r="Y120" i="11" s="1"/>
  <c r="N226" i="11"/>
  <c r="M226" i="11"/>
  <c r="AB176" i="11"/>
  <c r="W176" i="11"/>
  <c r="Y176" i="11" s="1"/>
  <c r="X176" i="11"/>
  <c r="X146" i="11"/>
  <c r="N48" i="11"/>
  <c r="M48" i="11"/>
  <c r="X39" i="11"/>
  <c r="O39" i="11"/>
  <c r="Y39" i="11" s="1"/>
  <c r="X185" i="11"/>
  <c r="O185" i="11"/>
  <c r="Y185" i="11" s="1"/>
  <c r="AD180" i="11"/>
  <c r="AE180" i="11" s="1"/>
  <c r="X179" i="11"/>
  <c r="X130" i="11"/>
  <c r="T114" i="11"/>
  <c r="AC69" i="11"/>
  <c r="AD69" i="11"/>
  <c r="AE69" i="11" s="1"/>
  <c r="AC67" i="11"/>
  <c r="AD67" i="11"/>
  <c r="AE67" i="11" s="1"/>
  <c r="H64" i="11"/>
  <c r="AC32" i="11"/>
  <c r="AD32" i="11"/>
  <c r="AE32" i="11" s="1"/>
  <c r="X216" i="11"/>
  <c r="AD156" i="11"/>
  <c r="AB137" i="11"/>
  <c r="X137" i="11"/>
  <c r="W137" i="11"/>
  <c r="Y137" i="11" s="1"/>
  <c r="H153" i="11"/>
  <c r="L127" i="11"/>
  <c r="X110" i="11"/>
  <c r="O110" i="11"/>
  <c r="Y110" i="11" s="1"/>
  <c r="M80" i="11"/>
  <c r="N80" i="11"/>
  <c r="Y25" i="11"/>
  <c r="X18" i="11"/>
  <c r="O18" i="11"/>
  <c r="X181" i="11"/>
  <c r="O173" i="11"/>
  <c r="Y173" i="11" s="1"/>
  <c r="X173" i="11"/>
  <c r="AD106" i="11"/>
  <c r="AE106" i="11" s="1"/>
  <c r="AC106" i="11"/>
  <c r="X104" i="11"/>
  <c r="O104" i="11"/>
  <c r="Y104" i="11" s="1"/>
  <c r="O134" i="11"/>
  <c r="Y134" i="11" s="1"/>
  <c r="X134" i="11"/>
  <c r="O33" i="11"/>
  <c r="Y33" i="11" s="1"/>
  <c r="X33" i="11"/>
  <c r="X144" i="11"/>
  <c r="O144" i="11"/>
  <c r="Y144" i="11" s="1"/>
  <c r="AB229" i="11"/>
  <c r="W229" i="11"/>
  <c r="Y229" i="11" s="1"/>
  <c r="X229" i="11"/>
  <c r="AB232" i="11"/>
  <c r="W232" i="11"/>
  <c r="Y232" i="11" s="1"/>
  <c r="X232" i="11"/>
  <c r="AB158" i="11"/>
  <c r="W158" i="11"/>
  <c r="Y158" i="11" s="1"/>
  <c r="X158" i="11"/>
  <c r="AD169" i="11"/>
  <c r="AE169" i="11" s="1"/>
  <c r="AB228" i="11"/>
  <c r="W228" i="11"/>
  <c r="Y228" i="11" s="1"/>
  <c r="X228" i="11"/>
  <c r="W175" i="11"/>
  <c r="AB175" i="11"/>
  <c r="AC143" i="11"/>
  <c r="AC129" i="11"/>
  <c r="AD89" i="11"/>
  <c r="AE89" i="11" s="1"/>
  <c r="AC89" i="11"/>
  <c r="O55" i="11"/>
  <c r="Y55" i="11" s="1"/>
  <c r="X55" i="11"/>
  <c r="AC26" i="11"/>
  <c r="AD26" i="11"/>
  <c r="AE26" i="11" s="1"/>
  <c r="AC138" i="11"/>
  <c r="AD138" i="11"/>
  <c r="AE138" i="11" s="1"/>
  <c r="AC53" i="11"/>
  <c r="AD53" i="11"/>
  <c r="AE53" i="11" s="1"/>
  <c r="Y128" i="11"/>
  <c r="W100" i="11"/>
  <c r="Y100" i="11" s="1"/>
  <c r="AB100" i="11"/>
  <c r="X100" i="11"/>
  <c r="AD182" i="11"/>
  <c r="AE182" i="11" s="1"/>
  <c r="AC182" i="11"/>
  <c r="X140" i="11"/>
  <c r="O140" i="11"/>
  <c r="Y140" i="11" s="1"/>
  <c r="O184" i="11"/>
  <c r="Y184" i="11" s="1"/>
  <c r="X184" i="11"/>
  <c r="X24" i="11"/>
  <c r="O24" i="11"/>
  <c r="Y24" i="11" s="1"/>
  <c r="AC22" i="11"/>
  <c r="AC218" i="11"/>
  <c r="AD218" i="11"/>
  <c r="AE218" i="11" s="1"/>
  <c r="L215" i="11"/>
  <c r="H221" i="11"/>
  <c r="AB190" i="11"/>
  <c r="X190" i="11"/>
  <c r="W190" i="11"/>
  <c r="Y190" i="11" s="1"/>
  <c r="X163" i="11"/>
  <c r="O163" i="11"/>
  <c r="Y163" i="11" s="1"/>
  <c r="O218" i="11"/>
  <c r="Y218" i="11" s="1"/>
  <c r="X218" i="11"/>
  <c r="M172" i="11"/>
  <c r="N172" i="11"/>
  <c r="X202" i="11"/>
  <c r="O202" i="11"/>
  <c r="Y202" i="11" s="1"/>
  <c r="O203" i="11"/>
  <c r="Y203" i="11" s="1"/>
  <c r="X203" i="11"/>
  <c r="AC136" i="11"/>
  <c r="AD136" i="11"/>
  <c r="AE136" i="11" s="1"/>
  <c r="AB49" i="11"/>
  <c r="W49" i="11"/>
  <c r="Y49" i="11" s="1"/>
  <c r="X49" i="11"/>
  <c r="X188" i="11"/>
  <c r="O188" i="11"/>
  <c r="Y188" i="11" s="1"/>
  <c r="X101" i="11"/>
  <c r="O101" i="11"/>
  <c r="Y101" i="11" s="1"/>
  <c r="V208" i="11"/>
  <c r="O112" i="11"/>
  <c r="Y112" i="11" s="1"/>
  <c r="X112" i="11"/>
  <c r="W72" i="11"/>
  <c r="Y72" i="11" s="1"/>
  <c r="AB72" i="11"/>
  <c r="X72" i="11"/>
  <c r="AB217" i="11"/>
  <c r="W217" i="11"/>
  <c r="Y217" i="11" s="1"/>
  <c r="X217" i="11"/>
  <c r="M254" i="11"/>
  <c r="N250" i="11"/>
  <c r="N254" i="11" s="1"/>
  <c r="AD231" i="11"/>
  <c r="AE231" i="11" s="1"/>
  <c r="AC231" i="11"/>
  <c r="X205" i="11"/>
  <c r="X204" i="11"/>
  <c r="AB160" i="11"/>
  <c r="W160" i="11"/>
  <c r="X160" i="11"/>
  <c r="X174" i="11"/>
  <c r="O174" i="11"/>
  <c r="Y174" i="11" s="1"/>
  <c r="H122" i="11"/>
  <c r="L119" i="11"/>
  <c r="X197" i="11"/>
  <c r="AB167" i="11"/>
  <c r="W167" i="11"/>
  <c r="Y167" i="11" s="1"/>
  <c r="X167" i="11"/>
  <c r="AB224" i="11"/>
  <c r="W224" i="11"/>
  <c r="V233" i="11"/>
  <c r="X34" i="11"/>
  <c r="Y34" i="11"/>
  <c r="AD146" i="11"/>
  <c r="AE146" i="11" s="1"/>
  <c r="AC146" i="11"/>
  <c r="AE119" i="11"/>
  <c r="W92" i="11"/>
  <c r="Y92" i="11" s="1"/>
  <c r="X92" i="11"/>
  <c r="AB92" i="11"/>
  <c r="H114" i="11"/>
  <c r="L85" i="11"/>
  <c r="AB52" i="11"/>
  <c r="W52" i="11"/>
  <c r="Y52" i="11" s="1"/>
  <c r="X52" i="11"/>
  <c r="X159" i="11"/>
  <c r="O159" i="11"/>
  <c r="Y159" i="11" s="1"/>
  <c r="AC130" i="11"/>
  <c r="X54" i="11"/>
  <c r="T64" i="11"/>
  <c r="X36" i="11"/>
  <c r="V43" i="11"/>
  <c r="Y17" i="11"/>
  <c r="AD216" i="11"/>
  <c r="AE216" i="11" s="1"/>
  <c r="AC216" i="11"/>
  <c r="T153" i="11"/>
  <c r="X97" i="11"/>
  <c r="O97" i="11"/>
  <c r="Y97" i="11" s="1"/>
  <c r="AC87" i="11"/>
  <c r="AD87" i="11"/>
  <c r="AE87" i="11" s="1"/>
  <c r="W48" i="11"/>
  <c r="V64" i="11"/>
  <c r="X21" i="11"/>
  <c r="AB21" i="11"/>
  <c r="W21" i="11"/>
  <c r="AC181" i="11"/>
  <c r="AD181" i="11"/>
  <c r="AE181" i="11" s="1"/>
  <c r="AC131" i="11"/>
  <c r="AD131" i="11"/>
  <c r="AE131" i="11" s="1"/>
  <c r="X128" i="11"/>
  <c r="O108" i="11"/>
  <c r="Y108" i="11" s="1"/>
  <c r="AB102" i="11"/>
  <c r="W102" i="11"/>
  <c r="Y102" i="11" s="1"/>
  <c r="X102" i="11"/>
  <c r="Y22" i="11"/>
  <c r="AD179" i="11" l="1"/>
  <c r="AE179" i="11" s="1"/>
  <c r="AD197" i="11"/>
  <c r="AE197" i="11" s="1"/>
  <c r="Y175" i="11"/>
  <c r="I44" i="1"/>
  <c r="J44" i="1" s="1"/>
  <c r="X48" i="11"/>
  <c r="N64" i="11"/>
  <c r="V44" i="11"/>
  <c r="X175" i="11"/>
  <c r="AD230" i="11"/>
  <c r="AE230" i="11" s="1"/>
  <c r="T234" i="11"/>
  <c r="T209" i="11"/>
  <c r="V234" i="11"/>
  <c r="Y160" i="11"/>
  <c r="X28" i="11"/>
  <c r="X136" i="11"/>
  <c r="AC19" i="11"/>
  <c r="AD19" i="11"/>
  <c r="AE19" i="11" s="1"/>
  <c r="AD91" i="11"/>
  <c r="AE91" i="11" s="1"/>
  <c r="AC91" i="11"/>
  <c r="O231" i="11"/>
  <c r="Y231" i="11" s="1"/>
  <c r="X231" i="11"/>
  <c r="X224" i="11"/>
  <c r="V236" i="11"/>
  <c r="V239" i="11" s="1"/>
  <c r="W239" i="11" s="1"/>
  <c r="AD111" i="11"/>
  <c r="AE111" i="11" s="1"/>
  <c r="AC111" i="11"/>
  <c r="H236" i="11"/>
  <c r="H239" i="11" s="1"/>
  <c r="O129" i="11"/>
  <c r="Y129" i="11" s="1"/>
  <c r="X129" i="11"/>
  <c r="AD178" i="11"/>
  <c r="AE178" i="11" s="1"/>
  <c r="AC178" i="11"/>
  <c r="X135" i="11"/>
  <c r="O135" i="11"/>
  <c r="Y135" i="11" s="1"/>
  <c r="AD99" i="11"/>
  <c r="AE99" i="11" s="1"/>
  <c r="AC99" i="11"/>
  <c r="AD187" i="11"/>
  <c r="AE187" i="11" s="1"/>
  <c r="AC187" i="11"/>
  <c r="W28" i="11"/>
  <c r="X66" i="11"/>
  <c r="X75" i="11" s="1"/>
  <c r="O66" i="11"/>
  <c r="AC49" i="11"/>
  <c r="AD49" i="11"/>
  <c r="AC232" i="11"/>
  <c r="AD232" i="11"/>
  <c r="AE232" i="11" s="1"/>
  <c r="AC229" i="11"/>
  <c r="AD229" i="11"/>
  <c r="AE229" i="11" s="1"/>
  <c r="O226" i="11"/>
  <c r="O233" i="11" s="1"/>
  <c r="N233" i="11"/>
  <c r="X226" i="11"/>
  <c r="AD127" i="11"/>
  <c r="AC127" i="11"/>
  <c r="O56" i="11"/>
  <c r="Y56" i="11" s="1"/>
  <c r="X56" i="11"/>
  <c r="X64" i="11" s="1"/>
  <c r="AD68" i="11"/>
  <c r="AE68" i="11" s="1"/>
  <c r="AC68" i="11"/>
  <c r="AC201" i="11"/>
  <c r="AD201" i="11"/>
  <c r="AE201" i="11" s="1"/>
  <c r="AD21" i="11"/>
  <c r="AC21" i="11"/>
  <c r="W64" i="11"/>
  <c r="T115" i="11"/>
  <c r="AC224" i="11"/>
  <c r="AD224" i="11"/>
  <c r="AC100" i="11"/>
  <c r="AD100" i="11"/>
  <c r="AE100" i="11" s="1"/>
  <c r="O80" i="11"/>
  <c r="O82" i="11" s="1"/>
  <c r="N82" i="11"/>
  <c r="N127" i="11"/>
  <c r="M127" i="11"/>
  <c r="AC137" i="11"/>
  <c r="AD137" i="11"/>
  <c r="AE137" i="11" s="1"/>
  <c r="AC176" i="11"/>
  <c r="AD176" i="11"/>
  <c r="AE176" i="11" s="1"/>
  <c r="AC37" i="11"/>
  <c r="AC43" i="11" s="1"/>
  <c r="AD37" i="11"/>
  <c r="AE37" i="11" s="1"/>
  <c r="AE43" i="11" s="1"/>
  <c r="O21" i="11"/>
  <c r="Y21" i="11" s="1"/>
  <c r="N28" i="11"/>
  <c r="AD151" i="11"/>
  <c r="AE151" i="11" s="1"/>
  <c r="AC151" i="11"/>
  <c r="AC96" i="11"/>
  <c r="AD96" i="11"/>
  <c r="AE96" i="11" s="1"/>
  <c r="W114" i="11"/>
  <c r="M85" i="11"/>
  <c r="N85" i="11"/>
  <c r="M119" i="11"/>
  <c r="N119" i="11"/>
  <c r="L258" i="11"/>
  <c r="K258" i="11"/>
  <c r="AC72" i="11"/>
  <c r="AD72" i="11"/>
  <c r="AE72" i="11" s="1"/>
  <c r="X172" i="11"/>
  <c r="O172" i="11"/>
  <c r="Y172" i="11" s="1"/>
  <c r="M215" i="11"/>
  <c r="N215" i="11"/>
  <c r="AC175" i="11"/>
  <c r="AD175" i="11"/>
  <c r="AE175" i="11" s="1"/>
  <c r="Y18" i="11"/>
  <c r="T18" i="11"/>
  <c r="T28" i="11" s="1"/>
  <c r="AE156" i="11"/>
  <c r="O48" i="11"/>
  <c r="AE214" i="11"/>
  <c r="W153" i="11"/>
  <c r="W208" i="11"/>
  <c r="AB114" i="11"/>
  <c r="AC85" i="11"/>
  <c r="AD85" i="11"/>
  <c r="AC94" i="11"/>
  <c r="AD94" i="11"/>
  <c r="AE94" i="11" s="1"/>
  <c r="O166" i="11"/>
  <c r="Y166" i="11" s="1"/>
  <c r="X166" i="11"/>
  <c r="AC168" i="11"/>
  <c r="AD168" i="11"/>
  <c r="AE168" i="11" s="1"/>
  <c r="O196" i="11"/>
  <c r="Y196" i="11" s="1"/>
  <c r="X196" i="11"/>
  <c r="AD52" i="11"/>
  <c r="AE52" i="11" s="1"/>
  <c r="AC52" i="11"/>
  <c r="AC160" i="11"/>
  <c r="AD160" i="11"/>
  <c r="AE160" i="11" s="1"/>
  <c r="AC217" i="11"/>
  <c r="AD217" i="11"/>
  <c r="AE217" i="11" s="1"/>
  <c r="AC228" i="11"/>
  <c r="AD228" i="11"/>
  <c r="AE228" i="11" s="1"/>
  <c r="AD189" i="11"/>
  <c r="AE189" i="11" s="1"/>
  <c r="AC189" i="11"/>
  <c r="AC102" i="11"/>
  <c r="AD102" i="11"/>
  <c r="AE102" i="11" s="1"/>
  <c r="V115" i="11"/>
  <c r="AC92" i="11"/>
  <c r="AD92" i="11"/>
  <c r="AE92" i="11" s="1"/>
  <c r="W233" i="11"/>
  <c r="Y224" i="11"/>
  <c r="AD167" i="11"/>
  <c r="AE167" i="11" s="1"/>
  <c r="AC167" i="11"/>
  <c r="W43" i="11"/>
  <c r="AC190" i="11"/>
  <c r="AD190" i="11"/>
  <c r="AE190" i="11" s="1"/>
  <c r="AC158" i="11"/>
  <c r="AD158" i="11"/>
  <c r="AE158" i="11" s="1"/>
  <c r="AB208" i="11"/>
  <c r="W75" i="11"/>
  <c r="W122" i="11"/>
  <c r="W123" i="11" s="1"/>
  <c r="AC120" i="11"/>
  <c r="AC122" i="11" s="1"/>
  <c r="AD120" i="11"/>
  <c r="AB122" i="11"/>
  <c r="AD57" i="11"/>
  <c r="AE57" i="11" s="1"/>
  <c r="AC57" i="11"/>
  <c r="V209" i="11"/>
  <c r="Y70" i="11"/>
  <c r="J258" i="11"/>
  <c r="N43" i="11"/>
  <c r="O31" i="11"/>
  <c r="O43" i="11" s="1"/>
  <c r="X31" i="11"/>
  <c r="X43" i="11" s="1"/>
  <c r="M156" i="11"/>
  <c r="N156" i="11"/>
  <c r="W221" i="11"/>
  <c r="O28" i="11" l="1"/>
  <c r="O44" i="11"/>
  <c r="Y66" i="11"/>
  <c r="Y75" i="11" s="1"/>
  <c r="O75" i="11"/>
  <c r="AE75" i="11"/>
  <c r="AC28" i="11"/>
  <c r="AC208" i="11"/>
  <c r="AD221" i="11"/>
  <c r="Y28" i="11"/>
  <c r="AE221" i="11"/>
  <c r="AD43" i="11"/>
  <c r="AD75" i="11"/>
  <c r="W236" i="11"/>
  <c r="N208" i="11"/>
  <c r="O156" i="11"/>
  <c r="O208" i="11" s="1"/>
  <c r="X156" i="11"/>
  <c r="X208" i="11" s="1"/>
  <c r="AD208" i="11"/>
  <c r="N114" i="11"/>
  <c r="O85" i="11"/>
  <c r="O114" i="11" s="1"/>
  <c r="X85" i="11"/>
  <c r="X114" i="11" s="1"/>
  <c r="X115" i="11" s="1"/>
  <c r="N44" i="11"/>
  <c r="AE208" i="11"/>
  <c r="N153" i="11"/>
  <c r="O127" i="11"/>
  <c r="O153" i="11" s="1"/>
  <c r="X127" i="11"/>
  <c r="X153" i="11" s="1"/>
  <c r="AE21" i="11"/>
  <c r="AE28" i="11" s="1"/>
  <c r="AD28" i="11"/>
  <c r="Y226" i="11"/>
  <c r="AC114" i="11"/>
  <c r="W209" i="11"/>
  <c r="T236" i="11"/>
  <c r="T239" i="11" s="1"/>
  <c r="T44" i="11"/>
  <c r="O215" i="11"/>
  <c r="N221" i="11"/>
  <c r="N234" i="11" s="1"/>
  <c r="X215" i="11"/>
  <c r="X221" i="11" s="1"/>
  <c r="X234" i="11" s="1"/>
  <c r="O119" i="11"/>
  <c r="N122" i="11"/>
  <c r="N123" i="11" s="1"/>
  <c r="X119" i="11"/>
  <c r="X122" i="11" s="1"/>
  <c r="X123" i="11" s="1"/>
  <c r="W44" i="11"/>
  <c r="AD233" i="11"/>
  <c r="AD234" i="11" s="1"/>
  <c r="AE224" i="11"/>
  <c r="AE233" i="11" s="1"/>
  <c r="W115" i="11"/>
  <c r="AD153" i="11"/>
  <c r="AE127" i="11"/>
  <c r="AE153" i="11" s="1"/>
  <c r="AE209" i="11" s="1"/>
  <c r="X44" i="11"/>
  <c r="AC64" i="11"/>
  <c r="AD114" i="11"/>
  <c r="AE85" i="11"/>
  <c r="AE114" i="11" s="1"/>
  <c r="W234" i="11"/>
  <c r="Y31" i="11"/>
  <c r="Y43" i="11" s="1"/>
  <c r="AE120" i="11"/>
  <c r="AE122" i="11" s="1"/>
  <c r="AE123" i="11" s="1"/>
  <c r="AD122" i="11"/>
  <c r="AD123" i="11" s="1"/>
  <c r="O64" i="11"/>
  <c r="Y48" i="11"/>
  <c r="Y64" i="11" s="1"/>
  <c r="AD64" i="11"/>
  <c r="AE49" i="11"/>
  <c r="AE64" i="11" s="1"/>
  <c r="N209" i="11" l="1"/>
  <c r="AD115" i="11"/>
  <c r="AE234" i="11"/>
  <c r="Y44" i="11"/>
  <c r="N236" i="11"/>
  <c r="N239" i="11" s="1"/>
  <c r="X236" i="11"/>
  <c r="X239" i="11" s="1"/>
  <c r="Y215" i="11"/>
  <c r="Y221" i="11" s="1"/>
  <c r="Y234" i="11" s="1"/>
  <c r="O221" i="11"/>
  <c r="O234" i="11" s="1"/>
  <c r="Y127" i="11"/>
  <c r="Y153" i="11" s="1"/>
  <c r="AD236" i="11"/>
  <c r="AD239" i="11" s="1"/>
  <c r="AD44" i="11"/>
  <c r="AE115" i="11"/>
  <c r="N115" i="11"/>
  <c r="X209" i="11"/>
  <c r="Y85" i="11"/>
  <c r="Y114" i="11" s="1"/>
  <c r="Y115" i="11" s="1"/>
  <c r="O122" i="11"/>
  <c r="O123" i="11" s="1"/>
  <c r="Y119" i="11"/>
  <c r="Y122" i="11" s="1"/>
  <c r="Y123" i="11" s="1"/>
  <c r="AD209" i="11"/>
  <c r="AE236" i="11"/>
  <c r="AE239" i="11" s="1"/>
  <c r="AE44" i="11"/>
  <c r="Y156" i="11"/>
  <c r="Y208" i="11" s="1"/>
  <c r="O236" i="11" l="1"/>
  <c r="O239" i="11" s="1"/>
  <c r="Y236" i="11"/>
  <c r="Y239" i="11" s="1"/>
  <c r="O115" i="11"/>
  <c r="O209" i="11"/>
  <c r="Y209" i="11"/>
  <c r="H72" i="2" l="1"/>
  <c r="H70" i="2"/>
  <c r="F54" i="2"/>
  <c r="H54" i="2"/>
  <c r="R204" i="1"/>
  <c r="Q142" i="1"/>
  <c r="T142" i="1" s="1"/>
  <c r="G70" i="2" s="1"/>
  <c r="F70" i="2" s="1"/>
  <c r="T160" i="1"/>
  <c r="T158" i="1"/>
  <c r="T157" i="1"/>
  <c r="T156" i="1"/>
  <c r="T154" i="1"/>
  <c r="T153" i="1"/>
  <c r="T152" i="1"/>
  <c r="T151" i="1"/>
  <c r="T149" i="1"/>
  <c r="T146" i="1"/>
  <c r="T145" i="1"/>
  <c r="T143" i="1"/>
  <c r="T138" i="1"/>
  <c r="T137" i="1"/>
  <c r="T135" i="1"/>
  <c r="T134" i="1"/>
  <c r="F145" i="7"/>
  <c r="I145" i="7" s="1"/>
  <c r="R145" i="7"/>
  <c r="Q145" i="7"/>
  <c r="F212" i="7"/>
  <c r="Q210" i="1"/>
  <c r="Q179" i="1"/>
  <c r="F182" i="7"/>
  <c r="Q144" i="1"/>
  <c r="T144" i="1" s="1"/>
  <c r="F147" i="7"/>
  <c r="I147" i="7" s="1"/>
  <c r="N147" i="7"/>
  <c r="R147" i="7" s="1"/>
  <c r="AE241" i="1"/>
  <c r="AE239" i="1"/>
  <c r="AE236" i="1"/>
  <c r="AE234" i="1"/>
  <c r="AE222" i="1"/>
  <c r="AE221" i="1"/>
  <c r="AE219" i="1"/>
  <c r="AE214" i="1"/>
  <c r="AE207" i="1"/>
  <c r="AE198" i="1"/>
  <c r="AE193" i="1"/>
  <c r="AE183" i="1"/>
  <c r="AE182" i="1"/>
  <c r="AE158" i="1"/>
  <c r="AE156" i="1"/>
  <c r="AE152" i="1"/>
  <c r="AE146" i="1"/>
  <c r="AE145" i="1"/>
  <c r="AE83" i="1"/>
  <c r="AE82" i="1"/>
  <c r="AE81" i="1"/>
  <c r="AE72" i="1"/>
  <c r="AB231" i="1"/>
  <c r="R206" i="1"/>
  <c r="R215" i="1"/>
  <c r="S215" i="1"/>
  <c r="R216" i="1"/>
  <c r="S217" i="1"/>
  <c r="R223" i="1"/>
  <c r="S223" i="1"/>
  <c r="R224" i="1"/>
  <c r="R226" i="1"/>
  <c r="R227" i="1"/>
  <c r="S227" i="1"/>
  <c r="R229" i="1"/>
  <c r="R232" i="1"/>
  <c r="S235" i="1"/>
  <c r="S245" i="1"/>
  <c r="R247" i="1"/>
  <c r="R133" i="1"/>
  <c r="S273" i="1"/>
  <c r="H279" i="7"/>
  <c r="G279" i="7"/>
  <c r="S285" i="1"/>
  <c r="F17" i="9" s="1"/>
  <c r="S265" i="1"/>
  <c r="R264" i="1"/>
  <c r="S195" i="1"/>
  <c r="R195" i="1"/>
  <c r="S191" i="1"/>
  <c r="R191" i="1"/>
  <c r="R190" i="1"/>
  <c r="S150" i="1"/>
  <c r="T150" i="1" s="1"/>
  <c r="R139" i="1"/>
  <c r="T139" i="1" s="1"/>
  <c r="R127" i="1"/>
  <c r="U123" i="1"/>
  <c r="Q123" i="1"/>
  <c r="V121" i="1"/>
  <c r="T121" i="1"/>
  <c r="R114" i="1"/>
  <c r="S104" i="1"/>
  <c r="R104" i="1"/>
  <c r="S98" i="1"/>
  <c r="R98" i="1"/>
  <c r="S80" i="1"/>
  <c r="R80" i="1"/>
  <c r="R70" i="1"/>
  <c r="R69" i="1"/>
  <c r="N62" i="7"/>
  <c r="R62" i="7" s="1"/>
  <c r="Q95" i="7"/>
  <c r="Q207" i="7"/>
  <c r="G226" i="7"/>
  <c r="N226" i="7"/>
  <c r="H226" i="7"/>
  <c r="Q209" i="7"/>
  <c r="G209" i="7"/>
  <c r="W121" i="1" l="1"/>
  <c r="V142" i="1"/>
  <c r="AB121" i="1"/>
  <c r="AB142" i="1" l="1"/>
  <c r="AD142" i="1" s="1"/>
  <c r="AE142" i="1" s="1"/>
  <c r="W142" i="1"/>
  <c r="AD121" i="1"/>
  <c r="AE121" i="1" s="1"/>
  <c r="AC121" i="1"/>
  <c r="AC142" i="1" l="1"/>
  <c r="G225" i="7"/>
  <c r="Q222" i="7"/>
  <c r="G222" i="7"/>
  <c r="H221" i="7"/>
  <c r="G221" i="7"/>
  <c r="N241" i="7"/>
  <c r="G244" i="7"/>
  <c r="G216" i="7"/>
  <c r="N216" i="7"/>
  <c r="G207" i="7"/>
  <c r="N194" i="7"/>
  <c r="G194" i="7"/>
  <c r="Q191" i="7"/>
  <c r="G191" i="7"/>
  <c r="Q190" i="7"/>
  <c r="G190" i="7"/>
  <c r="Q158" i="7"/>
  <c r="Q155" i="7"/>
  <c r="N142" i="7"/>
  <c r="G142" i="7"/>
  <c r="Q136" i="7"/>
  <c r="Q127" i="7"/>
  <c r="G127" i="7"/>
  <c r="R119" i="7"/>
  <c r="I119" i="7"/>
  <c r="H115" i="7"/>
  <c r="Q113" i="7"/>
  <c r="Q112" i="7"/>
  <c r="G112" i="7"/>
  <c r="Q101" i="7"/>
  <c r="G101" i="7"/>
  <c r="N80" i="7"/>
  <c r="N78" i="7"/>
  <c r="Q78" i="7"/>
  <c r="Q77" i="7"/>
  <c r="G77" i="7"/>
  <c r="Q67" i="7"/>
  <c r="G67" i="7"/>
  <c r="G66" i="7"/>
  <c r="G263" i="7"/>
  <c r="H275" i="7" l="1"/>
  <c r="H264" i="7"/>
  <c r="G95" i="7"/>
  <c r="R285" i="1"/>
  <c r="E17" i="9" s="1"/>
  <c r="S186" i="1"/>
  <c r="S168" i="1"/>
  <c r="S136" i="1"/>
  <c r="T136" i="1" s="1"/>
  <c r="R116" i="1"/>
  <c r="R85" i="1"/>
  <c r="S67" i="1"/>
  <c r="R97" i="1"/>
  <c r="H95" i="7"/>
  <c r="H101" i="7"/>
  <c r="H64" i="7"/>
  <c r="H139" i="7"/>
  <c r="H151" i="7"/>
  <c r="H169" i="7"/>
  <c r="H187" i="7"/>
  <c r="H191" i="7"/>
  <c r="N190" i="1"/>
  <c r="O190" i="1" s="1"/>
  <c r="M190" i="1"/>
  <c r="J287" i="1"/>
  <c r="I287" i="1"/>
  <c r="H191" i="1"/>
  <c r="L191" i="1" s="1"/>
  <c r="G118" i="1"/>
  <c r="F118" i="1"/>
  <c r="L116" i="1"/>
  <c r="H118" i="1" l="1"/>
  <c r="L118" i="1" s="1"/>
  <c r="N118" i="1" s="1"/>
  <c r="O118" i="1" s="1"/>
  <c r="M191" i="1"/>
  <c r="N191" i="1"/>
  <c r="O191" i="1" s="1"/>
  <c r="M116" i="1"/>
  <c r="N116" i="1"/>
  <c r="O116" i="1" s="1"/>
  <c r="K287" i="1"/>
  <c r="M118" i="1" l="1"/>
  <c r="M287" i="1"/>
  <c r="L287" i="1"/>
  <c r="G285" i="1" l="1"/>
  <c r="F285" i="1"/>
  <c r="E285" i="1"/>
  <c r="E167" i="1"/>
  <c r="H277" i="1"/>
  <c r="L277" i="1" s="1"/>
  <c r="H273" i="1"/>
  <c r="G281" i="1"/>
  <c r="F279" i="1"/>
  <c r="E279" i="1"/>
  <c r="F278" i="1"/>
  <c r="E278" i="1"/>
  <c r="E276" i="1"/>
  <c r="H276" i="1" s="1"/>
  <c r="L276" i="1" s="1"/>
  <c r="E275" i="1"/>
  <c r="H275" i="1" s="1"/>
  <c r="L275" i="1" s="1"/>
  <c r="F274" i="1"/>
  <c r="E274" i="1"/>
  <c r="E272" i="1"/>
  <c r="H272" i="1" s="1"/>
  <c r="L272" i="1" s="1"/>
  <c r="H267" i="1"/>
  <c r="L267" i="1" s="1"/>
  <c r="H266" i="1"/>
  <c r="L266" i="1" s="1"/>
  <c r="H265" i="1"/>
  <c r="L265" i="1" s="1"/>
  <c r="G269" i="1"/>
  <c r="E264" i="1"/>
  <c r="H264" i="1" s="1"/>
  <c r="L264" i="1" s="1"/>
  <c r="F263" i="1"/>
  <c r="E263" i="1"/>
  <c r="F262" i="1"/>
  <c r="E262" i="1"/>
  <c r="F239" i="1"/>
  <c r="E252" i="1"/>
  <c r="H252" i="1" s="1"/>
  <c r="L252" i="1" s="1"/>
  <c r="E251" i="1"/>
  <c r="H251" i="1" s="1"/>
  <c r="L251" i="1" s="1"/>
  <c r="E250" i="1"/>
  <c r="H250" i="1" s="1"/>
  <c r="L250" i="1" s="1"/>
  <c r="E249" i="1"/>
  <c r="H249" i="1" s="1"/>
  <c r="L249" i="1" s="1"/>
  <c r="E247" i="1"/>
  <c r="H247" i="1" s="1"/>
  <c r="L247" i="1" s="1"/>
  <c r="F246" i="1"/>
  <c r="H246" i="1" s="1"/>
  <c r="L246" i="1" s="1"/>
  <c r="G244" i="1"/>
  <c r="F244" i="1"/>
  <c r="E244" i="1"/>
  <c r="E243" i="1"/>
  <c r="H243" i="1" s="1"/>
  <c r="L243" i="1" s="1"/>
  <c r="E242" i="1"/>
  <c r="H242" i="1" s="1"/>
  <c r="L242" i="1" s="1"/>
  <c r="E241" i="1"/>
  <c r="H241" i="1" s="1"/>
  <c r="L241" i="1" s="1"/>
  <c r="F240" i="1"/>
  <c r="E240" i="1"/>
  <c r="E239" i="1"/>
  <c r="E238" i="1"/>
  <c r="H238" i="1" s="1"/>
  <c r="L238" i="1" s="1"/>
  <c r="E237" i="1"/>
  <c r="H237" i="1" s="1"/>
  <c r="L237" i="1" s="1"/>
  <c r="F233" i="1"/>
  <c r="E233" i="1"/>
  <c r="F232" i="1"/>
  <c r="E232" i="1"/>
  <c r="E231" i="1"/>
  <c r="H231" i="1" s="1"/>
  <c r="L231" i="1" s="1"/>
  <c r="E230" i="1"/>
  <c r="H230" i="1" s="1"/>
  <c r="L230" i="1" s="1"/>
  <c r="E229" i="1"/>
  <c r="H229" i="1" s="1"/>
  <c r="L229" i="1" s="1"/>
  <c r="E228" i="1"/>
  <c r="H228" i="1" s="1"/>
  <c r="L228" i="1" s="1"/>
  <c r="H254" i="1"/>
  <c r="L254" i="1" s="1"/>
  <c r="H253" i="1"/>
  <c r="L253" i="1" s="1"/>
  <c r="H248" i="1"/>
  <c r="L248" i="1" s="1"/>
  <c r="H245" i="1"/>
  <c r="L245" i="1" s="1"/>
  <c r="H236" i="1"/>
  <c r="L236" i="1" s="1"/>
  <c r="H235" i="1"/>
  <c r="L235" i="1" s="1"/>
  <c r="H234" i="1"/>
  <c r="L234" i="1" s="1"/>
  <c r="H227" i="1"/>
  <c r="L227" i="1" s="1"/>
  <c r="H226" i="1"/>
  <c r="L226" i="1" s="1"/>
  <c r="H225" i="1"/>
  <c r="L225" i="1" s="1"/>
  <c r="H219" i="1"/>
  <c r="L219" i="1" s="1"/>
  <c r="H218" i="1"/>
  <c r="L218" i="1" s="1"/>
  <c r="H217" i="1"/>
  <c r="L217" i="1" s="1"/>
  <c r="H216" i="1"/>
  <c r="L216" i="1" s="1"/>
  <c r="H212" i="1"/>
  <c r="L212" i="1" s="1"/>
  <c r="H211" i="1"/>
  <c r="L211" i="1" s="1"/>
  <c r="H205" i="1"/>
  <c r="L205" i="1" s="1"/>
  <c r="E224" i="1"/>
  <c r="H224" i="1" s="1"/>
  <c r="L224" i="1" s="1"/>
  <c r="G223" i="1"/>
  <c r="F223" i="1"/>
  <c r="E223" i="1"/>
  <c r="F222" i="1"/>
  <c r="H222" i="1" s="1"/>
  <c r="L222" i="1" s="1"/>
  <c r="F221" i="1"/>
  <c r="H221" i="1" s="1"/>
  <c r="L221" i="1" s="1"/>
  <c r="F220" i="1"/>
  <c r="H220" i="1" s="1"/>
  <c r="L220" i="1" s="1"/>
  <c r="E215" i="1"/>
  <c r="H215" i="1" s="1"/>
  <c r="L215" i="1" s="1"/>
  <c r="G214" i="1"/>
  <c r="H214" i="1" s="1"/>
  <c r="L214" i="1" s="1"/>
  <c r="E213" i="1"/>
  <c r="H213" i="1" s="1"/>
  <c r="L213" i="1" s="1"/>
  <c r="E210" i="1"/>
  <c r="H210" i="1" s="1"/>
  <c r="L210" i="1" s="1"/>
  <c r="F209" i="1"/>
  <c r="F208" i="1"/>
  <c r="E208" i="1"/>
  <c r="E207" i="1"/>
  <c r="H207" i="1" s="1"/>
  <c r="L207" i="1" s="1"/>
  <c r="E206" i="1"/>
  <c r="E204" i="1"/>
  <c r="H204" i="1" s="1"/>
  <c r="L204" i="1" s="1"/>
  <c r="H199" i="1"/>
  <c r="L199" i="1" s="1"/>
  <c r="H198" i="1"/>
  <c r="L198" i="1" s="1"/>
  <c r="H197" i="1"/>
  <c r="L197" i="1" s="1"/>
  <c r="H196" i="1"/>
  <c r="L196" i="1" s="1"/>
  <c r="H195" i="1"/>
  <c r="L195" i="1" s="1"/>
  <c r="H194" i="1"/>
  <c r="L194" i="1" s="1"/>
  <c r="H193" i="1"/>
  <c r="L193" i="1" s="1"/>
  <c r="H192" i="1"/>
  <c r="L192" i="1" s="1"/>
  <c r="H188" i="1"/>
  <c r="L188" i="1" s="1"/>
  <c r="H187" i="1"/>
  <c r="L187" i="1" s="1"/>
  <c r="H186" i="1"/>
  <c r="L186" i="1" s="1"/>
  <c r="H180" i="1"/>
  <c r="L180" i="1" s="1"/>
  <c r="H178" i="1"/>
  <c r="L178" i="1" s="1"/>
  <c r="F183" i="1"/>
  <c r="E183" i="1"/>
  <c r="G189" i="1"/>
  <c r="F189" i="1"/>
  <c r="E189" i="1"/>
  <c r="H233" i="1" l="1"/>
  <c r="L233" i="1" s="1"/>
  <c r="M233" i="1" s="1"/>
  <c r="H232" i="1"/>
  <c r="L232" i="1" s="1"/>
  <c r="N232" i="1" s="1"/>
  <c r="O232" i="1" s="1"/>
  <c r="H189" i="1"/>
  <c r="L189" i="1" s="1"/>
  <c r="N189" i="1" s="1"/>
  <c r="H183" i="1"/>
  <c r="L183" i="1" s="1"/>
  <c r="N183" i="1" s="1"/>
  <c r="H239" i="1"/>
  <c r="L239" i="1" s="1"/>
  <c r="M239" i="1" s="1"/>
  <c r="H208" i="1"/>
  <c r="L208" i="1" s="1"/>
  <c r="M208" i="1" s="1"/>
  <c r="H240" i="1"/>
  <c r="L240" i="1" s="1"/>
  <c r="N240" i="1" s="1"/>
  <c r="O240" i="1" s="1"/>
  <c r="E269" i="1"/>
  <c r="H279" i="1"/>
  <c r="L279" i="1" s="1"/>
  <c r="N279" i="1" s="1"/>
  <c r="O279" i="1" s="1"/>
  <c r="H274" i="1"/>
  <c r="L274" i="1" s="1"/>
  <c r="M274" i="1" s="1"/>
  <c r="E256" i="1"/>
  <c r="F256" i="1"/>
  <c r="H223" i="1"/>
  <c r="L223" i="1" s="1"/>
  <c r="N223" i="1" s="1"/>
  <c r="O223" i="1" s="1"/>
  <c r="H263" i="1"/>
  <c r="L263" i="1" s="1"/>
  <c r="N263" i="1" s="1"/>
  <c r="O263" i="1" s="1"/>
  <c r="H278" i="1"/>
  <c r="L278" i="1" s="1"/>
  <c r="N278" i="1" s="1"/>
  <c r="O278" i="1" s="1"/>
  <c r="H285" i="1"/>
  <c r="F269" i="1"/>
  <c r="N231" i="1"/>
  <c r="O231" i="1" s="1"/>
  <c r="M231" i="1"/>
  <c r="M243" i="1"/>
  <c r="N243" i="1"/>
  <c r="O243" i="1" s="1"/>
  <c r="N215" i="1"/>
  <c r="O215" i="1" s="1"/>
  <c r="M215" i="1"/>
  <c r="M272" i="1"/>
  <c r="N272" i="1"/>
  <c r="M276" i="1"/>
  <c r="N276" i="1"/>
  <c r="O276" i="1" s="1"/>
  <c r="M207" i="1"/>
  <c r="N207" i="1"/>
  <c r="N246" i="1"/>
  <c r="O246" i="1" s="1"/>
  <c r="M246" i="1"/>
  <c r="M213" i="1"/>
  <c r="N213" i="1"/>
  <c r="O213" i="1" s="1"/>
  <c r="N221" i="1"/>
  <c r="M221" i="1"/>
  <c r="N264" i="1"/>
  <c r="O264" i="1" s="1"/>
  <c r="M264" i="1"/>
  <c r="N238" i="1"/>
  <c r="O238" i="1" s="1"/>
  <c r="M238" i="1"/>
  <c r="M249" i="1"/>
  <c r="N249" i="1"/>
  <c r="O249" i="1" s="1"/>
  <c r="M275" i="1"/>
  <c r="N275" i="1"/>
  <c r="O275" i="1" s="1"/>
  <c r="M187" i="1"/>
  <c r="N187" i="1"/>
  <c r="O187" i="1" s="1"/>
  <c r="N197" i="1"/>
  <c r="O197" i="1" s="1"/>
  <c r="M197" i="1"/>
  <c r="H206" i="1"/>
  <c r="L206" i="1" s="1"/>
  <c r="N210" i="1"/>
  <c r="O210" i="1" s="1"/>
  <c r="M210" i="1"/>
  <c r="N218" i="1"/>
  <c r="O218" i="1" s="1"/>
  <c r="M218" i="1"/>
  <c r="N226" i="1"/>
  <c r="O226" i="1" s="1"/>
  <c r="M226" i="1"/>
  <c r="M236" i="1"/>
  <c r="N236" i="1"/>
  <c r="O236" i="1" s="1"/>
  <c r="N195" i="1"/>
  <c r="M195" i="1"/>
  <c r="N199" i="1"/>
  <c r="O199" i="1" s="1"/>
  <c r="M199" i="1"/>
  <c r="M204" i="1"/>
  <c r="N204" i="1"/>
  <c r="M212" i="1"/>
  <c r="N212" i="1"/>
  <c r="O212" i="1" s="1"/>
  <c r="M216" i="1"/>
  <c r="N216" i="1"/>
  <c r="O216" i="1" s="1"/>
  <c r="M220" i="1"/>
  <c r="N220" i="1"/>
  <c r="O220" i="1" s="1"/>
  <c r="M224" i="1"/>
  <c r="N224" i="1"/>
  <c r="O224" i="1" s="1"/>
  <c r="N230" i="1"/>
  <c r="O230" i="1" s="1"/>
  <c r="M230" i="1"/>
  <c r="N234" i="1"/>
  <c r="O234" i="1" s="1"/>
  <c r="M234" i="1"/>
  <c r="M245" i="1"/>
  <c r="N245" i="1"/>
  <c r="O245" i="1" s="1"/>
  <c r="N254" i="1"/>
  <c r="O254" i="1" s="1"/>
  <c r="M254" i="1"/>
  <c r="N178" i="1"/>
  <c r="O178" i="1" s="1"/>
  <c r="M178" i="1"/>
  <c r="N186" i="1"/>
  <c r="O186" i="1" s="1"/>
  <c r="M186" i="1"/>
  <c r="N192" i="1"/>
  <c r="O192" i="1" s="1"/>
  <c r="M192" i="1"/>
  <c r="M196" i="1"/>
  <c r="N196" i="1"/>
  <c r="O196" i="1" s="1"/>
  <c r="N205" i="1"/>
  <c r="O205" i="1" s="1"/>
  <c r="M205" i="1"/>
  <c r="H209" i="1"/>
  <c r="L209" i="1" s="1"/>
  <c r="M217" i="1"/>
  <c r="N217" i="1"/>
  <c r="O217" i="1" s="1"/>
  <c r="N225" i="1"/>
  <c r="O225" i="1" s="1"/>
  <c r="M225" i="1"/>
  <c r="M235" i="1"/>
  <c r="N235" i="1"/>
  <c r="O235" i="1" s="1"/>
  <c r="N250" i="1"/>
  <c r="O250" i="1" s="1"/>
  <c r="M250" i="1"/>
  <c r="M228" i="1"/>
  <c r="N228" i="1"/>
  <c r="O228" i="1" s="1"/>
  <c r="M252" i="1"/>
  <c r="N252" i="1"/>
  <c r="O252" i="1" s="1"/>
  <c r="N265" i="1"/>
  <c r="O265" i="1" s="1"/>
  <c r="M265" i="1"/>
  <c r="E281" i="1"/>
  <c r="L273" i="1"/>
  <c r="N277" i="1"/>
  <c r="O277" i="1" s="1"/>
  <c r="M277" i="1"/>
  <c r="N193" i="1"/>
  <c r="M193" i="1"/>
  <c r="N214" i="1"/>
  <c r="M214" i="1"/>
  <c r="N222" i="1"/>
  <c r="M222" i="1"/>
  <c r="M232" i="1"/>
  <c r="N242" i="1"/>
  <c r="O242" i="1" s="1"/>
  <c r="M242" i="1"/>
  <c r="N247" i="1"/>
  <c r="O247" i="1" s="1"/>
  <c r="M247" i="1"/>
  <c r="N251" i="1"/>
  <c r="O251" i="1" s="1"/>
  <c r="M251" i="1"/>
  <c r="M229" i="1"/>
  <c r="N229" i="1"/>
  <c r="O229" i="1" s="1"/>
  <c r="H262" i="1"/>
  <c r="N266" i="1"/>
  <c r="O266" i="1" s="1"/>
  <c r="M266" i="1"/>
  <c r="F281" i="1"/>
  <c r="M180" i="1"/>
  <c r="N180" i="1"/>
  <c r="O180" i="1" s="1"/>
  <c r="N188" i="1"/>
  <c r="M188" i="1"/>
  <c r="N194" i="1"/>
  <c r="O194" i="1" s="1"/>
  <c r="M194" i="1"/>
  <c r="N198" i="1"/>
  <c r="O198" i="1" s="1"/>
  <c r="M198" i="1"/>
  <c r="M211" i="1"/>
  <c r="N211" i="1"/>
  <c r="O211" i="1" s="1"/>
  <c r="N219" i="1"/>
  <c r="O219" i="1" s="1"/>
  <c r="M219" i="1"/>
  <c r="M227" i="1"/>
  <c r="N227" i="1"/>
  <c r="O227" i="1" s="1"/>
  <c r="N237" i="1"/>
  <c r="O237" i="1" s="1"/>
  <c r="M237" i="1"/>
  <c r="M248" i="1"/>
  <c r="N248" i="1"/>
  <c r="O248" i="1" s="1"/>
  <c r="N253" i="1"/>
  <c r="O253" i="1" s="1"/>
  <c r="M253" i="1"/>
  <c r="H244" i="1"/>
  <c r="L244" i="1" s="1"/>
  <c r="M267" i="1"/>
  <c r="N267" i="1"/>
  <c r="O267" i="1" s="1"/>
  <c r="N241" i="1"/>
  <c r="M241" i="1"/>
  <c r="G256" i="1"/>
  <c r="N233" i="1" l="1"/>
  <c r="O233" i="1" s="1"/>
  <c r="M240" i="1"/>
  <c r="M278" i="1"/>
  <c r="M279" i="1"/>
  <c r="M183" i="1"/>
  <c r="M189" i="1"/>
  <c r="M223" i="1"/>
  <c r="N274" i="1"/>
  <c r="O274" i="1" s="1"/>
  <c r="N208" i="1"/>
  <c r="O208" i="1" s="1"/>
  <c r="M263" i="1"/>
  <c r="N239" i="1"/>
  <c r="O239" i="1" s="1"/>
  <c r="H281" i="1"/>
  <c r="O188" i="1"/>
  <c r="O222" i="1"/>
  <c r="O193" i="1"/>
  <c r="O195" i="1"/>
  <c r="O183" i="1"/>
  <c r="O221" i="1"/>
  <c r="O214" i="1"/>
  <c r="O207" i="1"/>
  <c r="O241" i="1"/>
  <c r="O189" i="1"/>
  <c r="N206" i="1"/>
  <c r="O206" i="1" s="1"/>
  <c r="M206" i="1"/>
  <c r="H256" i="1"/>
  <c r="N209" i="1"/>
  <c r="O209" i="1" s="1"/>
  <c r="M209" i="1"/>
  <c r="M244" i="1"/>
  <c r="N244" i="1"/>
  <c r="O244" i="1" s="1"/>
  <c r="L262" i="1"/>
  <c r="H269" i="1"/>
  <c r="O272" i="1"/>
  <c r="N273" i="1"/>
  <c r="O273" i="1" s="1"/>
  <c r="M273" i="1"/>
  <c r="O204" i="1"/>
  <c r="O281" i="1" l="1"/>
  <c r="O256" i="1"/>
  <c r="N281" i="1"/>
  <c r="N256" i="1"/>
  <c r="M262" i="1"/>
  <c r="N262" i="1"/>
  <c r="O262" i="1" l="1"/>
  <c r="O269" i="1" s="1"/>
  <c r="O282" i="1" s="1"/>
  <c r="N269" i="1"/>
  <c r="N282" i="1" s="1"/>
  <c r="G185" i="1" l="1"/>
  <c r="F185" i="1"/>
  <c r="E185" i="1"/>
  <c r="G184" i="1"/>
  <c r="F184" i="1"/>
  <c r="E184" i="1"/>
  <c r="E182" i="1"/>
  <c r="H182" i="1" s="1"/>
  <c r="L182" i="1" s="1"/>
  <c r="E181" i="1"/>
  <c r="H181" i="1" s="1"/>
  <c r="L181" i="1" s="1"/>
  <c r="E179" i="1"/>
  <c r="H179" i="1" s="1"/>
  <c r="L179" i="1" s="1"/>
  <c r="G177" i="1"/>
  <c r="F177" i="1"/>
  <c r="E177" i="1"/>
  <c r="G176" i="1"/>
  <c r="F176" i="1"/>
  <c r="E176" i="1"/>
  <c r="G175" i="1"/>
  <c r="F175" i="1"/>
  <c r="E175" i="1"/>
  <c r="G170" i="1"/>
  <c r="E170" i="1"/>
  <c r="H167" i="1"/>
  <c r="F133" i="1"/>
  <c r="F157" i="1"/>
  <c r="H157" i="1" s="1"/>
  <c r="L157" i="1" s="1"/>
  <c r="H160" i="1"/>
  <c r="L160" i="1" s="1"/>
  <c r="H159" i="1"/>
  <c r="L159" i="1" s="1"/>
  <c r="H152" i="1"/>
  <c r="L152" i="1" s="1"/>
  <c r="H151" i="1"/>
  <c r="L151" i="1" s="1"/>
  <c r="H150" i="1"/>
  <c r="L150" i="1" s="1"/>
  <c r="H145" i="1"/>
  <c r="L145" i="1" s="1"/>
  <c r="H143" i="1"/>
  <c r="L143" i="1" s="1"/>
  <c r="H141" i="1"/>
  <c r="L141" i="1" s="1"/>
  <c r="H140" i="1"/>
  <c r="L140" i="1" s="1"/>
  <c r="H139" i="1"/>
  <c r="L139" i="1" s="1"/>
  <c r="H138" i="1"/>
  <c r="L138" i="1" s="1"/>
  <c r="H137" i="1"/>
  <c r="L137" i="1" s="1"/>
  <c r="H134" i="1"/>
  <c r="L134" i="1" s="1"/>
  <c r="F158" i="1"/>
  <c r="H158" i="1" s="1"/>
  <c r="L158" i="1" s="1"/>
  <c r="G156" i="1"/>
  <c r="F156" i="1"/>
  <c r="F155" i="1"/>
  <c r="E155" i="1"/>
  <c r="F154" i="1"/>
  <c r="H154" i="1" s="1"/>
  <c r="L154" i="1" s="1"/>
  <c r="E153" i="1"/>
  <c r="H153" i="1" s="1"/>
  <c r="L153" i="1" s="1"/>
  <c r="F149" i="1"/>
  <c r="E149" i="1"/>
  <c r="F148" i="1"/>
  <c r="E148" i="1"/>
  <c r="F147" i="1"/>
  <c r="E147" i="1"/>
  <c r="F146" i="1"/>
  <c r="H146" i="1" s="1"/>
  <c r="L146" i="1" s="1"/>
  <c r="F144" i="1"/>
  <c r="E144" i="1"/>
  <c r="E142" i="1"/>
  <c r="H142" i="1" s="1"/>
  <c r="L142" i="1" s="1"/>
  <c r="E136" i="1"/>
  <c r="H136" i="1" s="1"/>
  <c r="L136" i="1" s="1"/>
  <c r="G135" i="1"/>
  <c r="F135" i="1"/>
  <c r="E135" i="1"/>
  <c r="E133" i="1"/>
  <c r="E127" i="1"/>
  <c r="H127" i="1" s="1"/>
  <c r="L127" i="1" s="1"/>
  <c r="G130" i="1"/>
  <c r="F128" i="1"/>
  <c r="H128" i="1" s="1"/>
  <c r="L128" i="1" s="1"/>
  <c r="E126" i="1"/>
  <c r="H126" i="1" s="1"/>
  <c r="L126" i="1" s="1"/>
  <c r="H120" i="1"/>
  <c r="L120" i="1" s="1"/>
  <c r="H119" i="1"/>
  <c r="L119" i="1" s="1"/>
  <c r="H117" i="1"/>
  <c r="L117" i="1" s="1"/>
  <c r="H110" i="1"/>
  <c r="L110" i="1" s="1"/>
  <c r="H109" i="1"/>
  <c r="L109" i="1" s="1"/>
  <c r="H108" i="1"/>
  <c r="L108" i="1" s="1"/>
  <c r="H107" i="1"/>
  <c r="L107" i="1" s="1"/>
  <c r="H106" i="1"/>
  <c r="L106" i="1" s="1"/>
  <c r="H103" i="1"/>
  <c r="L103" i="1" s="1"/>
  <c r="H102" i="1"/>
  <c r="L102" i="1" s="1"/>
  <c r="H101" i="1"/>
  <c r="L101" i="1" s="1"/>
  <c r="H100" i="1"/>
  <c r="L100" i="1" s="1"/>
  <c r="H98" i="1"/>
  <c r="L98" i="1" s="1"/>
  <c r="H97" i="1"/>
  <c r="L97" i="1" s="1"/>
  <c r="F115" i="1"/>
  <c r="E115" i="1"/>
  <c r="G114" i="1"/>
  <c r="G123" i="1" s="1"/>
  <c r="F114" i="1"/>
  <c r="E114" i="1"/>
  <c r="G99" i="1"/>
  <c r="G105" i="1"/>
  <c r="F105" i="1"/>
  <c r="E105" i="1"/>
  <c r="F104" i="1"/>
  <c r="E104" i="1"/>
  <c r="F99" i="1"/>
  <c r="E99" i="1"/>
  <c r="E96" i="1"/>
  <c r="H96" i="1" s="1"/>
  <c r="L96" i="1" s="1"/>
  <c r="H89" i="1"/>
  <c r="L89" i="1" s="1"/>
  <c r="H88" i="1"/>
  <c r="L88" i="1" s="1"/>
  <c r="H87" i="1"/>
  <c r="L87" i="1" s="1"/>
  <c r="H86" i="1"/>
  <c r="L86" i="1" s="1"/>
  <c r="H85" i="1"/>
  <c r="L85" i="1" s="1"/>
  <c r="H83" i="1"/>
  <c r="L83" i="1" s="1"/>
  <c r="G91" i="1"/>
  <c r="F91" i="1"/>
  <c r="H104" i="1" l="1"/>
  <c r="L104" i="1" s="1"/>
  <c r="M104" i="1" s="1"/>
  <c r="G112" i="1"/>
  <c r="G162" i="1"/>
  <c r="H148" i="1"/>
  <c r="L148" i="1" s="1"/>
  <c r="M148" i="1" s="1"/>
  <c r="H156" i="1"/>
  <c r="L156" i="1" s="1"/>
  <c r="M156" i="1" s="1"/>
  <c r="H176" i="1"/>
  <c r="L176" i="1" s="1"/>
  <c r="N176" i="1" s="1"/>
  <c r="O176" i="1" s="1"/>
  <c r="H185" i="1"/>
  <c r="L185" i="1" s="1"/>
  <c r="M185" i="1" s="1"/>
  <c r="H184" i="1"/>
  <c r="L184" i="1" s="1"/>
  <c r="M184" i="1" s="1"/>
  <c r="F112" i="1"/>
  <c r="N146" i="1"/>
  <c r="M146" i="1"/>
  <c r="N154" i="1"/>
  <c r="O154" i="1" s="1"/>
  <c r="M154" i="1"/>
  <c r="N136" i="1"/>
  <c r="O136" i="1" s="1"/>
  <c r="M136" i="1"/>
  <c r="N102" i="1"/>
  <c r="O102" i="1" s="1"/>
  <c r="M102" i="1"/>
  <c r="M119" i="1"/>
  <c r="N119" i="1"/>
  <c r="O119" i="1" s="1"/>
  <c r="M134" i="1"/>
  <c r="N134" i="1"/>
  <c r="O134" i="1" s="1"/>
  <c r="N157" i="1"/>
  <c r="O157" i="1" s="1"/>
  <c r="M157" i="1"/>
  <c r="M85" i="1"/>
  <c r="N85" i="1"/>
  <c r="O85" i="1" s="1"/>
  <c r="N87" i="1"/>
  <c r="O87" i="1" s="1"/>
  <c r="M87" i="1"/>
  <c r="H99" i="1"/>
  <c r="L99" i="1" s="1"/>
  <c r="M101" i="1"/>
  <c r="N101" i="1"/>
  <c r="O101" i="1" s="1"/>
  <c r="N107" i="1"/>
  <c r="O107" i="1" s="1"/>
  <c r="M107" i="1"/>
  <c r="M117" i="1"/>
  <c r="N117" i="1"/>
  <c r="O117" i="1" s="1"/>
  <c r="N128" i="1"/>
  <c r="O128" i="1" s="1"/>
  <c r="M128" i="1"/>
  <c r="H135" i="1"/>
  <c r="L135" i="1" s="1"/>
  <c r="N142" i="1"/>
  <c r="M142" i="1"/>
  <c r="H147" i="1"/>
  <c r="L147" i="1" s="1"/>
  <c r="H149" i="1"/>
  <c r="L149" i="1" s="1"/>
  <c r="H155" i="1"/>
  <c r="L155" i="1" s="1"/>
  <c r="N158" i="1"/>
  <c r="M158" i="1"/>
  <c r="N138" i="1"/>
  <c r="M138" i="1"/>
  <c r="M143" i="1"/>
  <c r="N143" i="1"/>
  <c r="O143" i="1" s="1"/>
  <c r="M151" i="1"/>
  <c r="N151" i="1"/>
  <c r="O151" i="1" s="1"/>
  <c r="N160" i="1"/>
  <c r="M160" i="1"/>
  <c r="H177" i="1"/>
  <c r="L177" i="1" s="1"/>
  <c r="M181" i="1"/>
  <c r="N181" i="1"/>
  <c r="O181" i="1" s="1"/>
  <c r="N83" i="1"/>
  <c r="M83" i="1"/>
  <c r="M97" i="1"/>
  <c r="N97" i="1"/>
  <c r="O97" i="1" s="1"/>
  <c r="M139" i="1"/>
  <c r="N139" i="1"/>
  <c r="N152" i="1"/>
  <c r="M152" i="1"/>
  <c r="N104" i="1"/>
  <c r="O104" i="1" s="1"/>
  <c r="N98" i="1"/>
  <c r="O98" i="1" s="1"/>
  <c r="M98" i="1"/>
  <c r="N103" i="1"/>
  <c r="O103" i="1" s="1"/>
  <c r="M103" i="1"/>
  <c r="M109" i="1"/>
  <c r="N109" i="1"/>
  <c r="O109" i="1" s="1"/>
  <c r="M120" i="1"/>
  <c r="N120" i="1"/>
  <c r="O120" i="1" s="1"/>
  <c r="M127" i="1"/>
  <c r="N127" i="1"/>
  <c r="H144" i="1"/>
  <c r="L144" i="1" s="1"/>
  <c r="N148" i="1"/>
  <c r="O148" i="1" s="1"/>
  <c r="N153" i="1"/>
  <c r="O153" i="1" s="1"/>
  <c r="M153" i="1"/>
  <c r="N140" i="1"/>
  <c r="O140" i="1" s="1"/>
  <c r="M140" i="1"/>
  <c r="N88" i="1"/>
  <c r="O88" i="1" s="1"/>
  <c r="M88" i="1"/>
  <c r="N108" i="1"/>
  <c r="O108" i="1" s="1"/>
  <c r="M108" i="1"/>
  <c r="M145" i="1"/>
  <c r="N145" i="1"/>
  <c r="N182" i="1"/>
  <c r="M182" i="1"/>
  <c r="M89" i="1"/>
  <c r="N89" i="1"/>
  <c r="O89" i="1" s="1"/>
  <c r="M86" i="1"/>
  <c r="N86" i="1"/>
  <c r="O86" i="1" s="1"/>
  <c r="M96" i="1"/>
  <c r="N96" i="1"/>
  <c r="M100" i="1"/>
  <c r="N100" i="1"/>
  <c r="O100" i="1" s="1"/>
  <c r="N106" i="1"/>
  <c r="O106" i="1" s="1"/>
  <c r="M106" i="1"/>
  <c r="M110" i="1"/>
  <c r="N110" i="1"/>
  <c r="O110" i="1" s="1"/>
  <c r="N126" i="1"/>
  <c r="M126" i="1"/>
  <c r="N137" i="1"/>
  <c r="O137" i="1" s="1"/>
  <c r="M137" i="1"/>
  <c r="N141" i="1"/>
  <c r="O141" i="1" s="1"/>
  <c r="M141" i="1"/>
  <c r="N150" i="1"/>
  <c r="O150" i="1" s="1"/>
  <c r="M150" i="1"/>
  <c r="M159" i="1"/>
  <c r="N159" i="1"/>
  <c r="O159" i="1" s="1"/>
  <c r="H170" i="1"/>
  <c r="L167" i="1"/>
  <c r="F201" i="1"/>
  <c r="N179" i="1"/>
  <c r="O179" i="1" s="1"/>
  <c r="M179" i="1"/>
  <c r="H114" i="1"/>
  <c r="L114" i="1" s="1"/>
  <c r="F130" i="1"/>
  <c r="E162" i="1"/>
  <c r="F170" i="1"/>
  <c r="E201" i="1"/>
  <c r="H105" i="1"/>
  <c r="H175" i="1"/>
  <c r="H115" i="1"/>
  <c r="L115" i="1" s="1"/>
  <c r="H133" i="1"/>
  <c r="G201" i="1"/>
  <c r="F162" i="1"/>
  <c r="F123" i="1"/>
  <c r="E112" i="1"/>
  <c r="E123" i="1"/>
  <c r="E130" i="1"/>
  <c r="H130" i="1"/>
  <c r="N156" i="1" l="1"/>
  <c r="O156" i="1" s="1"/>
  <c r="N184" i="1"/>
  <c r="O184" i="1" s="1"/>
  <c r="M176" i="1"/>
  <c r="N185" i="1"/>
  <c r="O185" i="1" s="1"/>
  <c r="O182" i="1"/>
  <c r="O160" i="1"/>
  <c r="O158" i="1"/>
  <c r="O145" i="1"/>
  <c r="O152" i="1"/>
  <c r="O142" i="1"/>
  <c r="O127" i="1"/>
  <c r="O139" i="1"/>
  <c r="O138" i="1"/>
  <c r="O146" i="1"/>
  <c r="O83" i="1"/>
  <c r="H162" i="1"/>
  <c r="L133" i="1"/>
  <c r="N115" i="1"/>
  <c r="O115" i="1" s="1"/>
  <c r="M115" i="1"/>
  <c r="H201" i="1"/>
  <c r="L175" i="1"/>
  <c r="N144" i="1"/>
  <c r="O144" i="1" s="1"/>
  <c r="M144" i="1"/>
  <c r="H112" i="1"/>
  <c r="L105" i="1"/>
  <c r="O126" i="1"/>
  <c r="O130" i="1" s="1"/>
  <c r="N130" i="1"/>
  <c r="N177" i="1"/>
  <c r="O177" i="1" s="1"/>
  <c r="M177" i="1"/>
  <c r="N149" i="1"/>
  <c r="O149" i="1" s="1"/>
  <c r="M149" i="1"/>
  <c r="M135" i="1"/>
  <c r="N135" i="1"/>
  <c r="O135" i="1" s="1"/>
  <c r="O96" i="1"/>
  <c r="M155" i="1"/>
  <c r="N155" i="1"/>
  <c r="O155" i="1" s="1"/>
  <c r="M114" i="1"/>
  <c r="N114" i="1"/>
  <c r="M167" i="1"/>
  <c r="N167" i="1"/>
  <c r="M147" i="1"/>
  <c r="N147" i="1"/>
  <c r="O147" i="1" s="1"/>
  <c r="N99" i="1"/>
  <c r="O99" i="1" s="1"/>
  <c r="M99" i="1"/>
  <c r="H123" i="1"/>
  <c r="O114" i="1" l="1"/>
  <c r="O123" i="1" s="1"/>
  <c r="N123" i="1"/>
  <c r="O167" i="1"/>
  <c r="N170" i="1"/>
  <c r="N171" i="1" s="1"/>
  <c r="M105" i="1"/>
  <c r="N105" i="1"/>
  <c r="O105" i="1" s="1"/>
  <c r="O112" i="1" s="1"/>
  <c r="M175" i="1"/>
  <c r="N175" i="1"/>
  <c r="M133" i="1"/>
  <c r="N133" i="1"/>
  <c r="O170" i="1" l="1"/>
  <c r="O171" i="1" s="1"/>
  <c r="N112" i="1"/>
  <c r="N162" i="1"/>
  <c r="O133" i="1"/>
  <c r="O175" i="1"/>
  <c r="N201" i="1"/>
  <c r="N257" i="1" s="1"/>
  <c r="O201" i="1" l="1"/>
  <c r="O257" i="1" s="1"/>
  <c r="O162" i="1"/>
  <c r="O163" i="1" s="1"/>
  <c r="N163" i="1"/>
  <c r="E84" i="1" l="1"/>
  <c r="H84" i="1" s="1"/>
  <c r="L84" i="1" s="1"/>
  <c r="N84" i="1" l="1"/>
  <c r="O84" i="1" s="1"/>
  <c r="M84" i="1"/>
  <c r="E82" i="1"/>
  <c r="H82" i="1" s="1"/>
  <c r="L82" i="1" s="1"/>
  <c r="E81" i="1"/>
  <c r="H81" i="1" s="1"/>
  <c r="L81" i="1" s="1"/>
  <c r="E80" i="1"/>
  <c r="H80" i="1" s="1"/>
  <c r="L80" i="1" s="1"/>
  <c r="E79" i="1"/>
  <c r="F74" i="1"/>
  <c r="E74" i="1"/>
  <c r="F72" i="1"/>
  <c r="H72" i="1" s="1"/>
  <c r="L72" i="1" s="1"/>
  <c r="G76" i="1"/>
  <c r="G284" i="1" s="1"/>
  <c r="G287" i="1" s="1"/>
  <c r="H73" i="1"/>
  <c r="L73" i="1" s="1"/>
  <c r="H71" i="1"/>
  <c r="L71" i="1" s="1"/>
  <c r="H70" i="1"/>
  <c r="H68" i="1"/>
  <c r="L68" i="1" s="1"/>
  <c r="H67" i="1"/>
  <c r="L67" i="1" s="1"/>
  <c r="H66" i="1"/>
  <c r="L66" i="1" s="1"/>
  <c r="H65" i="1"/>
  <c r="L65" i="1" s="1"/>
  <c r="F69" i="1"/>
  <c r="E69" i="1"/>
  <c r="G307" i="7"/>
  <c r="I306" i="7"/>
  <c r="H305" i="7"/>
  <c r="H307" i="7" s="1"/>
  <c r="I304" i="7"/>
  <c r="F303" i="7"/>
  <c r="F307" i="7" s="1"/>
  <c r="F76" i="1" l="1"/>
  <c r="F284" i="1" s="1"/>
  <c r="F287" i="1" s="1"/>
  <c r="M72" i="1"/>
  <c r="N72" i="1"/>
  <c r="M71" i="1"/>
  <c r="N71" i="1"/>
  <c r="O71" i="1" s="1"/>
  <c r="N67" i="1"/>
  <c r="O67" i="1" s="1"/>
  <c r="M67" i="1"/>
  <c r="N73" i="1"/>
  <c r="O73" i="1" s="1"/>
  <c r="M73" i="1"/>
  <c r="M81" i="1"/>
  <c r="N81" i="1"/>
  <c r="M82" i="1"/>
  <c r="N82" i="1"/>
  <c r="N65" i="1"/>
  <c r="O65" i="1" s="1"/>
  <c r="M65" i="1"/>
  <c r="N70" i="1"/>
  <c r="O70" i="1" s="1"/>
  <c r="M70" i="1"/>
  <c r="N68" i="1"/>
  <c r="O68" i="1" s="1"/>
  <c r="M68" i="1"/>
  <c r="N66" i="1"/>
  <c r="O66" i="1" s="1"/>
  <c r="M66" i="1"/>
  <c r="E76" i="1"/>
  <c r="N80" i="1"/>
  <c r="M80" i="1"/>
  <c r="H69" i="1"/>
  <c r="L69" i="1" s="1"/>
  <c r="E91" i="1"/>
  <c r="H79" i="1"/>
  <c r="H74" i="1"/>
  <c r="L74" i="1" s="1"/>
  <c r="K306" i="7"/>
  <c r="K304" i="7"/>
  <c r="O82" i="1" l="1"/>
  <c r="O80" i="1"/>
  <c r="O81" i="1"/>
  <c r="O72" i="1"/>
  <c r="N74" i="1"/>
  <c r="O74" i="1" s="1"/>
  <c r="M74" i="1"/>
  <c r="N69" i="1"/>
  <c r="O69" i="1" s="1"/>
  <c r="M69" i="1"/>
  <c r="H91" i="1"/>
  <c r="L79" i="1"/>
  <c r="E284" i="1"/>
  <c r="E287" i="1" s="1"/>
  <c r="H76" i="1"/>
  <c r="I307" i="7"/>
  <c r="K305" i="7"/>
  <c r="O76" i="1" l="1"/>
  <c r="J307" i="7"/>
  <c r="H284" i="1"/>
  <c r="H287" i="1" s="1"/>
  <c r="N76" i="1"/>
  <c r="N79" i="1"/>
  <c r="M79" i="1"/>
  <c r="K303" i="7"/>
  <c r="K307" i="7" s="1"/>
  <c r="G311" i="7"/>
  <c r="H311" i="7"/>
  <c r="F311" i="7"/>
  <c r="O79" i="1" l="1"/>
  <c r="O91" i="1" s="1"/>
  <c r="N91" i="1"/>
  <c r="N92" i="1" s="1"/>
  <c r="J173" i="2"/>
  <c r="I173" i="2"/>
  <c r="Q265" i="7"/>
  <c r="H158" i="2"/>
  <c r="H136" i="2"/>
  <c r="I136" i="2"/>
  <c r="I135" i="2"/>
  <c r="I134" i="2"/>
  <c r="H128" i="2"/>
  <c r="H120" i="2"/>
  <c r="O92" i="1" l="1"/>
  <c r="O284" i="1"/>
  <c r="O287" i="1" s="1"/>
  <c r="N284" i="1"/>
  <c r="G144" i="7"/>
  <c r="I88" i="2"/>
  <c r="I77" i="2"/>
  <c r="I76" i="2"/>
  <c r="H33" i="2"/>
  <c r="I34" i="2"/>
  <c r="H21" i="2"/>
  <c r="I12" i="2"/>
  <c r="I186" i="2"/>
  <c r="H178" i="2"/>
  <c r="H186" i="2"/>
  <c r="J185" i="2"/>
  <c r="I185" i="2"/>
  <c r="H185" i="2"/>
  <c r="H184" i="2"/>
  <c r="H183" i="2"/>
  <c r="J182" i="2"/>
  <c r="I182" i="2"/>
  <c r="H182" i="2"/>
  <c r="H181" i="2"/>
  <c r="I181" i="2"/>
  <c r="I180" i="2"/>
  <c r="H180" i="2"/>
  <c r="H179" i="2"/>
  <c r="I178" i="2"/>
  <c r="I174" i="2"/>
  <c r="H174" i="2"/>
  <c r="H173" i="2"/>
  <c r="H172" i="2"/>
  <c r="I171" i="2"/>
  <c r="H171" i="2"/>
  <c r="H170" i="2"/>
  <c r="I170" i="2"/>
  <c r="J170" i="2"/>
  <c r="J169" i="2"/>
  <c r="I169" i="2"/>
  <c r="H169" i="2"/>
  <c r="H163" i="2"/>
  <c r="H162" i="2"/>
  <c r="J161" i="2"/>
  <c r="I161" i="2"/>
  <c r="H161" i="2"/>
  <c r="I160" i="2"/>
  <c r="H160" i="2"/>
  <c r="H159" i="2"/>
  <c r="I158" i="2"/>
  <c r="H157" i="2"/>
  <c r="I156" i="2"/>
  <c r="H154" i="2"/>
  <c r="H153" i="2"/>
  <c r="H152" i="2"/>
  <c r="H151" i="2"/>
  <c r="J150" i="2"/>
  <c r="I150" i="2"/>
  <c r="H150" i="2"/>
  <c r="I149" i="2"/>
  <c r="H149" i="2"/>
  <c r="J148" i="2"/>
  <c r="I148" i="2"/>
  <c r="H148" i="2"/>
  <c r="H146" i="2"/>
  <c r="J144" i="2"/>
  <c r="I144" i="2"/>
  <c r="H144" i="2"/>
  <c r="K143" i="2"/>
  <c r="J143" i="2"/>
  <c r="I143" i="2"/>
  <c r="H143" i="2"/>
  <c r="I142" i="2"/>
  <c r="H142" i="2"/>
  <c r="I141" i="2"/>
  <c r="H141" i="2"/>
  <c r="J140" i="2"/>
  <c r="I140" i="2"/>
  <c r="H140" i="2"/>
  <c r="J139" i="2"/>
  <c r="I139" i="2"/>
  <c r="H139" i="2"/>
  <c r="L138" i="2"/>
  <c r="K138" i="2"/>
  <c r="J138" i="2"/>
  <c r="I138" i="2"/>
  <c r="H135" i="2"/>
  <c r="J134" i="2"/>
  <c r="H134" i="2"/>
  <c r="H133" i="2"/>
  <c r="H131" i="2"/>
  <c r="H130" i="2"/>
  <c r="H129" i="2"/>
  <c r="I127" i="2"/>
  <c r="H127" i="2"/>
  <c r="H126" i="2"/>
  <c r="H125" i="2"/>
  <c r="H124" i="2"/>
  <c r="H123" i="2"/>
  <c r="I122" i="2"/>
  <c r="H122" i="2"/>
  <c r="H112" i="2"/>
  <c r="H111" i="2"/>
  <c r="J109" i="2"/>
  <c r="I109" i="2"/>
  <c r="H109" i="2"/>
  <c r="J108" i="2"/>
  <c r="H101" i="2"/>
  <c r="I108" i="2"/>
  <c r="H108" i="2"/>
  <c r="H107" i="2"/>
  <c r="H106" i="2"/>
  <c r="H105" i="2"/>
  <c r="H104" i="2"/>
  <c r="H103" i="2"/>
  <c r="L102" i="2"/>
  <c r="K102" i="2"/>
  <c r="J102" i="2"/>
  <c r="I102" i="2"/>
  <c r="H102" i="2"/>
  <c r="J101" i="2"/>
  <c r="I101" i="2"/>
  <c r="H100" i="2"/>
  <c r="H99" i="2"/>
  <c r="H98" i="2"/>
  <c r="I97" i="2"/>
  <c r="H97" i="2"/>
  <c r="H96" i="2"/>
  <c r="I95" i="2"/>
  <c r="H95" i="2"/>
  <c r="H94" i="2"/>
  <c r="H89" i="2"/>
  <c r="H88" i="2"/>
  <c r="H83" i="2"/>
  <c r="H82" i="2"/>
  <c r="I81" i="2"/>
  <c r="H81" i="2"/>
  <c r="H80" i="2"/>
  <c r="I79" i="2"/>
  <c r="H79" i="2"/>
  <c r="I78" i="2"/>
  <c r="H78" i="2"/>
  <c r="H77" i="2"/>
  <c r="J75" i="2"/>
  <c r="I75" i="2"/>
  <c r="H75" i="2"/>
  <c r="I74" i="2"/>
  <c r="H74" i="2"/>
  <c r="J73" i="2"/>
  <c r="I73" i="2"/>
  <c r="H73" i="2"/>
  <c r="H71" i="2"/>
  <c r="H69" i="2"/>
  <c r="J68" i="2"/>
  <c r="I68" i="2"/>
  <c r="H68" i="2"/>
  <c r="K67" i="2"/>
  <c r="J67" i="2"/>
  <c r="I67" i="2"/>
  <c r="H67" i="2"/>
  <c r="I66" i="2"/>
  <c r="H66" i="2"/>
  <c r="H65" i="2"/>
  <c r="H64" i="2"/>
  <c r="I64" i="2"/>
  <c r="I63" i="2"/>
  <c r="H63" i="2"/>
  <c r="H62" i="2"/>
  <c r="H61" i="2"/>
  <c r="I53" i="2"/>
  <c r="H53" i="2"/>
  <c r="H52" i="2"/>
  <c r="I51" i="2"/>
  <c r="H51" i="2"/>
  <c r="I50" i="2"/>
  <c r="H50" i="2"/>
  <c r="H49" i="2"/>
  <c r="I49" i="2"/>
  <c r="J48" i="2"/>
  <c r="I48" i="2"/>
  <c r="H47" i="2"/>
  <c r="H42" i="2"/>
  <c r="H41" i="2"/>
  <c r="I39" i="2"/>
  <c r="H39" i="2"/>
  <c r="H38" i="2"/>
  <c r="I37" i="2"/>
  <c r="H37" i="2"/>
  <c r="I35" i="2"/>
  <c r="H35" i="2"/>
  <c r="H34" i="2"/>
  <c r="H32" i="2"/>
  <c r="I31" i="2"/>
  <c r="H31" i="2"/>
  <c r="I30" i="2"/>
  <c r="H30" i="2"/>
  <c r="Q114" i="7"/>
  <c r="G114" i="7"/>
  <c r="Q94" i="7"/>
  <c r="G94" i="7"/>
  <c r="D11" i="3" l="1"/>
  <c r="C16" i="3" s="1"/>
  <c r="D12" i="3"/>
  <c r="C12" i="3" s="1"/>
  <c r="D7" i="3"/>
  <c r="F19" i="2"/>
  <c r="I25" i="2"/>
  <c r="H25" i="2"/>
  <c r="I24" i="2"/>
  <c r="H24" i="2"/>
  <c r="H23" i="2"/>
  <c r="J22" i="2"/>
  <c r="I22" i="2"/>
  <c r="H22" i="2"/>
  <c r="I20" i="2"/>
  <c r="H20" i="2"/>
  <c r="H17" i="2"/>
  <c r="J14" i="2"/>
  <c r="I14" i="2"/>
  <c r="H14" i="2"/>
  <c r="H13" i="2"/>
  <c r="H12" i="2"/>
  <c r="J11" i="2"/>
  <c r="I11" i="2"/>
  <c r="H11" i="2"/>
  <c r="H10" i="2"/>
  <c r="I9" i="2"/>
  <c r="H9" i="2"/>
  <c r="H8" i="2"/>
  <c r="H7" i="2"/>
  <c r="S280" i="1"/>
  <c r="T280" i="1" s="1"/>
  <c r="T279" i="1"/>
  <c r="Q278" i="1"/>
  <c r="P278" i="1"/>
  <c r="S277" i="1"/>
  <c r="R277" i="1"/>
  <c r="P276" i="1"/>
  <c r="T276" i="1" s="1"/>
  <c r="Q275" i="1"/>
  <c r="P275" i="1"/>
  <c r="T274" i="1"/>
  <c r="T273" i="1"/>
  <c r="P272" i="1"/>
  <c r="T272" i="1" s="1"/>
  <c r="P267" i="1"/>
  <c r="T267" i="1" s="1"/>
  <c r="S266" i="1"/>
  <c r="T266" i="1" s="1"/>
  <c r="T265" i="1"/>
  <c r="T264" i="1"/>
  <c r="T263" i="1"/>
  <c r="Q262" i="1"/>
  <c r="T262" i="1" s="1"/>
  <c r="T254" i="1"/>
  <c r="S253" i="1"/>
  <c r="T253" i="1" s="1"/>
  <c r="T252" i="1"/>
  <c r="T251" i="1"/>
  <c r="T250" i="1"/>
  <c r="P249" i="1"/>
  <c r="T249" i="1" s="1"/>
  <c r="P247" i="1"/>
  <c r="P246" i="1"/>
  <c r="T246" i="1" s="1"/>
  <c r="T245" i="1"/>
  <c r="T244" i="1"/>
  <c r="T243" i="1"/>
  <c r="T242" i="1"/>
  <c r="T240" i="1"/>
  <c r="P238" i="1"/>
  <c r="T238" i="1" s="1"/>
  <c r="P237" i="1"/>
  <c r="T237" i="1" s="1"/>
  <c r="T236" i="1"/>
  <c r="T235" i="1"/>
  <c r="T234" i="1"/>
  <c r="T233" i="1"/>
  <c r="Q232" i="1"/>
  <c r="P232" i="1"/>
  <c r="T231" i="1"/>
  <c r="T230" i="1"/>
  <c r="P229" i="1"/>
  <c r="P228" i="1"/>
  <c r="T228" i="1" s="1"/>
  <c r="T227" i="1"/>
  <c r="T226" i="1"/>
  <c r="P225" i="1"/>
  <c r="T225" i="1" s="1"/>
  <c r="P224" i="1"/>
  <c r="P223" i="1"/>
  <c r="T220" i="1"/>
  <c r="T219" i="1"/>
  <c r="T218" i="1"/>
  <c r="T217" i="1"/>
  <c r="T216" i="1"/>
  <c r="T215" i="1"/>
  <c r="P213" i="1"/>
  <c r="T213" i="1" s="1"/>
  <c r="T212" i="1"/>
  <c r="T211" i="1"/>
  <c r="T210" i="1"/>
  <c r="T209" i="1"/>
  <c r="P208" i="1"/>
  <c r="T208" i="1" s="1"/>
  <c r="T206" i="1"/>
  <c r="T205" i="1"/>
  <c r="Q204" i="1"/>
  <c r="T204" i="1" s="1"/>
  <c r="S199" i="1"/>
  <c r="T199" i="1" s="1"/>
  <c r="T198" i="1"/>
  <c r="R197" i="1"/>
  <c r="T197" i="1" s="1"/>
  <c r="T196" i="1"/>
  <c r="T194" i="1"/>
  <c r="T195" i="1"/>
  <c r="T188" i="1"/>
  <c r="T192" i="1"/>
  <c r="T191" i="1"/>
  <c r="T190" i="1"/>
  <c r="S189" i="1"/>
  <c r="R189" i="1"/>
  <c r="T187" i="1"/>
  <c r="T186" i="1"/>
  <c r="R185" i="1"/>
  <c r="T185" i="1" s="1"/>
  <c r="S184" i="1"/>
  <c r="R184" i="1"/>
  <c r="P184" i="1"/>
  <c r="T181" i="1"/>
  <c r="T180" i="1"/>
  <c r="T179" i="1"/>
  <c r="S178" i="1"/>
  <c r="R178" i="1"/>
  <c r="T178" i="1" s="1"/>
  <c r="S177" i="1"/>
  <c r="R177" i="1"/>
  <c r="Q177" i="1"/>
  <c r="P177" i="1"/>
  <c r="S176" i="1"/>
  <c r="R176" i="1"/>
  <c r="Q176" i="1"/>
  <c r="P176" i="1"/>
  <c r="S175" i="1"/>
  <c r="R175" i="1"/>
  <c r="V179" i="1"/>
  <c r="W179" i="1" s="1"/>
  <c r="V180" i="1"/>
  <c r="V181" i="1"/>
  <c r="V186" i="1"/>
  <c r="V187" i="1"/>
  <c r="W187" i="1" s="1"/>
  <c r="V190" i="1"/>
  <c r="V192" i="1"/>
  <c r="V188" i="1"/>
  <c r="W188" i="1" s="1"/>
  <c r="V194" i="1"/>
  <c r="V196" i="1"/>
  <c r="V198" i="1"/>
  <c r="T168" i="1"/>
  <c r="R167" i="1"/>
  <c r="T167" i="1" s="1"/>
  <c r="G83" i="2"/>
  <c r="F83" i="2" s="1"/>
  <c r="S159" i="1"/>
  <c r="G81" i="2"/>
  <c r="F81" i="2" s="1"/>
  <c r="Q155" i="1"/>
  <c r="G79" i="2"/>
  <c r="F79" i="2" s="1"/>
  <c r="G78" i="2"/>
  <c r="F78" i="2" s="1"/>
  <c r="G77" i="2"/>
  <c r="F77" i="2" s="1"/>
  <c r="G76" i="2"/>
  <c r="F76" i="2" s="1"/>
  <c r="G75" i="2"/>
  <c r="F75" i="2" s="1"/>
  <c r="Q148" i="1"/>
  <c r="Q147" i="1"/>
  <c r="P147" i="1"/>
  <c r="G72" i="2"/>
  <c r="F72" i="2" s="1"/>
  <c r="G71" i="2"/>
  <c r="F71" i="2" s="1"/>
  <c r="R141" i="1"/>
  <c r="R140" i="1"/>
  <c r="G67" i="2"/>
  <c r="F67" i="2" s="1"/>
  <c r="G66" i="2"/>
  <c r="F66" i="2" s="1"/>
  <c r="G65" i="2"/>
  <c r="F65" i="2" s="1"/>
  <c r="G64" i="2"/>
  <c r="F64" i="2" s="1"/>
  <c r="G63" i="2"/>
  <c r="F63" i="2" s="1"/>
  <c r="G62" i="2"/>
  <c r="F62" i="2" s="1"/>
  <c r="P133" i="1"/>
  <c r="T133" i="1" s="1"/>
  <c r="G61" i="2" s="1"/>
  <c r="F61" i="2" s="1"/>
  <c r="V134" i="1"/>
  <c r="V135" i="1"/>
  <c r="V136" i="1"/>
  <c r="V137" i="1"/>
  <c r="V138" i="1"/>
  <c r="V139" i="1"/>
  <c r="V144" i="1"/>
  <c r="W144" i="1" s="1"/>
  <c r="V149" i="1"/>
  <c r="V151" i="1"/>
  <c r="W151" i="1" s="1"/>
  <c r="V153" i="1"/>
  <c r="V154" i="1"/>
  <c r="V157" i="1"/>
  <c r="V160" i="1"/>
  <c r="S120" i="1"/>
  <c r="R119" i="1"/>
  <c r="T119" i="1" s="1"/>
  <c r="T118" i="1"/>
  <c r="R117" i="1"/>
  <c r="T116" i="1"/>
  <c r="T115" i="1"/>
  <c r="T114" i="1"/>
  <c r="T110" i="1"/>
  <c r="T109" i="1"/>
  <c r="T108" i="1"/>
  <c r="T107" i="1"/>
  <c r="T106" i="1"/>
  <c r="Q105" i="1"/>
  <c r="T105" i="1" s="1"/>
  <c r="T104" i="1"/>
  <c r="T103" i="1"/>
  <c r="Q102" i="1"/>
  <c r="P102" i="1"/>
  <c r="T101" i="1"/>
  <c r="S100" i="1"/>
  <c r="T100" i="1" s="1"/>
  <c r="Q99" i="1"/>
  <c r="T99" i="1" s="1"/>
  <c r="T98" i="1"/>
  <c r="Q97" i="1"/>
  <c r="P97" i="1"/>
  <c r="P96" i="1"/>
  <c r="V96" i="1" s="1"/>
  <c r="V101" i="1"/>
  <c r="V103" i="1"/>
  <c r="V104" i="1"/>
  <c r="V106" i="1"/>
  <c r="V107" i="1"/>
  <c r="W107" i="1" s="1"/>
  <c r="V108" i="1"/>
  <c r="V109" i="1"/>
  <c r="V110" i="1"/>
  <c r="T89" i="1"/>
  <c r="T88" i="1"/>
  <c r="T87" i="1"/>
  <c r="T86" i="1"/>
  <c r="T85" i="1"/>
  <c r="Q84" i="1"/>
  <c r="T84" i="1" s="1"/>
  <c r="T80" i="1"/>
  <c r="Q79" i="1"/>
  <c r="P79" i="1"/>
  <c r="V80" i="1"/>
  <c r="W80" i="1" s="1"/>
  <c r="V85" i="1"/>
  <c r="V86" i="1"/>
  <c r="V87" i="1"/>
  <c r="V88" i="1"/>
  <c r="V89" i="1"/>
  <c r="Q246" i="7"/>
  <c r="N199" i="7"/>
  <c r="Q64" i="7"/>
  <c r="Q196" i="7"/>
  <c r="R196" i="7" s="1"/>
  <c r="N197" i="7"/>
  <c r="P253" i="7"/>
  <c r="R73" i="1"/>
  <c r="T73" i="1" s="1"/>
  <c r="T71" i="1"/>
  <c r="H222" i="7"/>
  <c r="H216" i="7"/>
  <c r="Q282" i="7"/>
  <c r="H282" i="7"/>
  <c r="H265" i="7"/>
  <c r="Q208" i="7"/>
  <c r="Q189" i="7"/>
  <c r="H189" i="7"/>
  <c r="G117" i="7"/>
  <c r="H250" i="7"/>
  <c r="H199" i="7"/>
  <c r="H194" i="7"/>
  <c r="Q151" i="7"/>
  <c r="H118" i="7"/>
  <c r="Q118" i="7"/>
  <c r="Q97" i="7"/>
  <c r="H97" i="7"/>
  <c r="Q83" i="7"/>
  <c r="G168" i="7"/>
  <c r="G69" i="7"/>
  <c r="G288" i="7"/>
  <c r="I288" i="7" s="1"/>
  <c r="G197" i="7"/>
  <c r="Q192" i="7"/>
  <c r="W89" i="1" l="1"/>
  <c r="W85" i="1"/>
  <c r="W109" i="1"/>
  <c r="W104" i="1"/>
  <c r="W157" i="1"/>
  <c r="W149" i="1"/>
  <c r="W137" i="1"/>
  <c r="W186" i="1"/>
  <c r="W88" i="1"/>
  <c r="W108" i="1"/>
  <c r="W103" i="1"/>
  <c r="W154" i="1"/>
  <c r="W136" i="1"/>
  <c r="W198" i="1"/>
  <c r="W192" i="1"/>
  <c r="W181" i="1"/>
  <c r="W87" i="1"/>
  <c r="W101" i="1"/>
  <c r="W153" i="1"/>
  <c r="AB139" i="1"/>
  <c r="W139" i="1"/>
  <c r="W135" i="1"/>
  <c r="W196" i="1"/>
  <c r="W190" i="1"/>
  <c r="W180" i="1"/>
  <c r="W86" i="1"/>
  <c r="W110" i="1"/>
  <c r="W106" i="1"/>
  <c r="W96" i="1"/>
  <c r="W160" i="1"/>
  <c r="AB138" i="1"/>
  <c r="W138" i="1"/>
  <c r="W134" i="1"/>
  <c r="W194" i="1"/>
  <c r="AB151" i="1"/>
  <c r="T148" i="1"/>
  <c r="G74" i="2" s="1"/>
  <c r="F74" i="2" s="1"/>
  <c r="T159" i="1"/>
  <c r="G82" i="2" s="1"/>
  <c r="F82" i="2" s="1"/>
  <c r="T117" i="1"/>
  <c r="R123" i="1"/>
  <c r="T140" i="1"/>
  <c r="G68" i="2" s="1"/>
  <c r="F68" i="2" s="1"/>
  <c r="T147" i="1"/>
  <c r="G73" i="2" s="1"/>
  <c r="F73" i="2" s="1"/>
  <c r="T155" i="1"/>
  <c r="G80" i="2" s="1"/>
  <c r="F80" i="2" s="1"/>
  <c r="AB187" i="1"/>
  <c r="AB179" i="1"/>
  <c r="T141" i="1"/>
  <c r="G69" i="2" s="1"/>
  <c r="F69" i="2" s="1"/>
  <c r="AB188" i="1"/>
  <c r="AB144" i="1"/>
  <c r="T120" i="1"/>
  <c r="S123" i="1"/>
  <c r="AB107" i="1"/>
  <c r="AB80" i="1"/>
  <c r="T224" i="1"/>
  <c r="T278" i="1"/>
  <c r="V105" i="1"/>
  <c r="V98" i="1"/>
  <c r="V102" i="1"/>
  <c r="T229" i="1"/>
  <c r="T277" i="1"/>
  <c r="V141" i="1"/>
  <c r="W141" i="1" s="1"/>
  <c r="T223" i="1"/>
  <c r="T79" i="1"/>
  <c r="V99" i="1"/>
  <c r="W99" i="1" s="1"/>
  <c r="V155" i="1"/>
  <c r="V150" i="1"/>
  <c r="W150" i="1" s="1"/>
  <c r="V140" i="1"/>
  <c r="W140" i="1" s="1"/>
  <c r="V147" i="1"/>
  <c r="W147" i="1" s="1"/>
  <c r="V178" i="1"/>
  <c r="T189" i="1"/>
  <c r="T102" i="1"/>
  <c r="V175" i="1"/>
  <c r="W175" i="1" s="1"/>
  <c r="V184" i="1"/>
  <c r="V97" i="1"/>
  <c r="T232" i="1"/>
  <c r="V191" i="1"/>
  <c r="V176" i="1"/>
  <c r="T184" i="1"/>
  <c r="T247" i="1"/>
  <c r="T275" i="1"/>
  <c r="V84" i="1"/>
  <c r="V197" i="1"/>
  <c r="T176" i="1"/>
  <c r="V177" i="1"/>
  <c r="R256" i="1"/>
  <c r="S256" i="1"/>
  <c r="P256" i="1"/>
  <c r="Q256" i="1"/>
  <c r="T177" i="1"/>
  <c r="T175" i="1"/>
  <c r="V199" i="1"/>
  <c r="V195" i="1"/>
  <c r="V189" i="1"/>
  <c r="W189" i="1" s="1"/>
  <c r="V185" i="1"/>
  <c r="W185" i="1" s="1"/>
  <c r="V159" i="1"/>
  <c r="V148" i="1"/>
  <c r="V143" i="1"/>
  <c r="W143" i="1" s="1"/>
  <c r="V133" i="1"/>
  <c r="T96" i="1"/>
  <c r="T97" i="1"/>
  <c r="V100" i="1"/>
  <c r="V79" i="1"/>
  <c r="W100" i="1" l="1"/>
  <c r="W84" i="1"/>
  <c r="W176" i="1"/>
  <c r="W184" i="1"/>
  <c r="W178" i="1"/>
  <c r="W155" i="1"/>
  <c r="W98" i="1"/>
  <c r="W195" i="1"/>
  <c r="W177" i="1"/>
  <c r="W191" i="1"/>
  <c r="W105" i="1"/>
  <c r="W199" i="1"/>
  <c r="W148" i="1"/>
  <c r="W159" i="1"/>
  <c r="W79" i="1"/>
  <c r="W133" i="1"/>
  <c r="W197" i="1"/>
  <c r="W97" i="1"/>
  <c r="W102" i="1"/>
  <c r="AB143" i="1"/>
  <c r="AB141" i="1"/>
  <c r="AB140" i="1"/>
  <c r="AB150" i="1"/>
  <c r="T123" i="1"/>
  <c r="F84" i="2"/>
  <c r="AB189" i="1"/>
  <c r="AB175" i="1"/>
  <c r="AB185" i="1"/>
  <c r="AB99" i="1"/>
  <c r="AB147" i="1"/>
  <c r="AD147" i="1" s="1"/>
  <c r="AE147" i="1" s="1"/>
  <c r="T256" i="1"/>
  <c r="AD139" i="1"/>
  <c r="AE139" i="1" s="1"/>
  <c r="AC139" i="1"/>
  <c r="AD138" i="1"/>
  <c r="AE138" i="1" s="1"/>
  <c r="AC138" i="1"/>
  <c r="AB137" i="1"/>
  <c r="R151" i="7"/>
  <c r="Q278" i="7"/>
  <c r="Q150" i="7"/>
  <c r="AD109" i="1"/>
  <c r="AE109" i="1" s="1"/>
  <c r="AA162" i="1"/>
  <c r="AA130" i="1"/>
  <c r="V279" i="1"/>
  <c r="W279" i="1" s="1"/>
  <c r="V274" i="1"/>
  <c r="W274" i="1" s="1"/>
  <c r="V273" i="1"/>
  <c r="V266" i="1"/>
  <c r="W266" i="1" s="1"/>
  <c r="V265" i="1"/>
  <c r="W265" i="1" s="1"/>
  <c r="V264" i="1"/>
  <c r="W264" i="1" s="1"/>
  <c r="V263" i="1"/>
  <c r="W263" i="1" s="1"/>
  <c r="V254" i="1"/>
  <c r="V253" i="1"/>
  <c r="V252" i="1"/>
  <c r="W252" i="1" s="1"/>
  <c r="V251" i="1"/>
  <c r="W251" i="1" s="1"/>
  <c r="V250" i="1"/>
  <c r="W250" i="1" s="1"/>
  <c r="V244" i="1"/>
  <c r="W244" i="1" s="1"/>
  <c r="V243" i="1"/>
  <c r="W243" i="1" s="1"/>
  <c r="V242" i="1"/>
  <c r="W242" i="1" s="1"/>
  <c r="V240" i="1"/>
  <c r="V236" i="1"/>
  <c r="W236" i="1" s="1"/>
  <c r="V234" i="1"/>
  <c r="W234" i="1" s="1"/>
  <c r="V233" i="1"/>
  <c r="W233" i="1" s="1"/>
  <c r="V231" i="1"/>
  <c r="W231" i="1" s="1"/>
  <c r="V230" i="1"/>
  <c r="W230" i="1" s="1"/>
  <c r="V226" i="1"/>
  <c r="V220" i="1"/>
  <c r="W220" i="1" s="1"/>
  <c r="V219" i="1"/>
  <c r="V218" i="1"/>
  <c r="W218" i="1" s="1"/>
  <c r="V212" i="1"/>
  <c r="W212" i="1" s="1"/>
  <c r="V211" i="1"/>
  <c r="W211" i="1" s="1"/>
  <c r="V210" i="1"/>
  <c r="V209" i="1"/>
  <c r="W209" i="1" s="1"/>
  <c r="V206" i="1"/>
  <c r="V205" i="1"/>
  <c r="W205" i="1" s="1"/>
  <c r="AB196" i="1"/>
  <c r="AB194" i="1"/>
  <c r="AB190" i="1"/>
  <c r="AB186" i="1"/>
  <c r="AD186" i="1" s="1"/>
  <c r="AE186" i="1" s="1"/>
  <c r="AB180" i="1"/>
  <c r="V168" i="1"/>
  <c r="W168" i="1" s="1"/>
  <c r="AB159" i="1"/>
  <c r="AC159" i="1" s="1"/>
  <c r="AB155" i="1"/>
  <c r="AC155" i="1" s="1"/>
  <c r="AB154" i="1"/>
  <c r="AC154" i="1" s="1"/>
  <c r="AC151" i="1"/>
  <c r="AC150" i="1"/>
  <c r="AC144" i="1"/>
  <c r="AB136" i="1"/>
  <c r="AB135" i="1"/>
  <c r="V127" i="1"/>
  <c r="V120" i="1"/>
  <c r="V119" i="1"/>
  <c r="V118" i="1"/>
  <c r="V115" i="1"/>
  <c r="W115" i="1" s="1"/>
  <c r="V114" i="1"/>
  <c r="W114" i="1" s="1"/>
  <c r="AB110" i="1"/>
  <c r="AB108" i="1"/>
  <c r="AD108" i="1" s="1"/>
  <c r="AE108" i="1" s="1"/>
  <c r="AB106" i="1"/>
  <c r="AB103" i="1"/>
  <c r="AC103" i="1" s="1"/>
  <c r="AB101" i="1"/>
  <c r="AC101" i="1" s="1"/>
  <c r="AB98" i="1"/>
  <c r="AC98" i="1" s="1"/>
  <c r="AB88" i="1"/>
  <c r="AD88" i="1" s="1"/>
  <c r="AE88" i="1" s="1"/>
  <c r="AB85" i="1"/>
  <c r="AD85" i="1" s="1"/>
  <c r="AE85" i="1" s="1"/>
  <c r="V73" i="1"/>
  <c r="W73" i="1" s="1"/>
  <c r="V71" i="1"/>
  <c r="V66" i="1"/>
  <c r="W66" i="1" s="1"/>
  <c r="T66" i="1"/>
  <c r="S269" i="1"/>
  <c r="R269" i="1"/>
  <c r="S170" i="1"/>
  <c r="Q170" i="1"/>
  <c r="S130" i="1"/>
  <c r="R130" i="1"/>
  <c r="Q130" i="1"/>
  <c r="P123" i="1"/>
  <c r="Q285" i="1"/>
  <c r="D17" i="9" s="1"/>
  <c r="P285" i="1"/>
  <c r="C17" i="9" s="1"/>
  <c r="G185" i="2"/>
  <c r="F185" i="2" s="1"/>
  <c r="G180" i="2"/>
  <c r="F180" i="2" s="1"/>
  <c r="G179" i="2"/>
  <c r="F179" i="2" s="1"/>
  <c r="G174" i="2"/>
  <c r="F174" i="2" s="1"/>
  <c r="G173" i="2"/>
  <c r="F173" i="2" s="1"/>
  <c r="G172" i="2"/>
  <c r="F172" i="2" s="1"/>
  <c r="G171" i="2"/>
  <c r="F171" i="2" s="1"/>
  <c r="G170" i="2"/>
  <c r="F170" i="2" s="1"/>
  <c r="V262" i="1"/>
  <c r="G163" i="2"/>
  <c r="F163" i="2" s="1"/>
  <c r="G162" i="2"/>
  <c r="F162" i="2" s="1"/>
  <c r="G161" i="2"/>
  <c r="F161" i="2" s="1"/>
  <c r="G160" i="2"/>
  <c r="F160" i="2" s="1"/>
  <c r="G159" i="2"/>
  <c r="F159" i="2" s="1"/>
  <c r="G154" i="2"/>
  <c r="F154" i="2" s="1"/>
  <c r="G153" i="2"/>
  <c r="F153" i="2" s="1"/>
  <c r="G152" i="2"/>
  <c r="F152" i="2" s="1"/>
  <c r="G151" i="2"/>
  <c r="F151" i="2" s="1"/>
  <c r="G150" i="2"/>
  <c r="F150" i="2" s="1"/>
  <c r="G147" i="2"/>
  <c r="F147" i="2" s="1"/>
  <c r="G145" i="2"/>
  <c r="F145" i="2" s="1"/>
  <c r="G144" i="2"/>
  <c r="F144" i="2" s="1"/>
  <c r="G142" i="2"/>
  <c r="F142" i="2" s="1"/>
  <c r="G141" i="2"/>
  <c r="F141" i="2" s="1"/>
  <c r="G137" i="2"/>
  <c r="F137" i="2" s="1"/>
  <c r="G133" i="2"/>
  <c r="F133" i="2" s="1"/>
  <c r="G132" i="2"/>
  <c r="F132" i="2" s="1"/>
  <c r="G131" i="2"/>
  <c r="F131" i="2" s="1"/>
  <c r="G130" i="2"/>
  <c r="F130" i="2" s="1"/>
  <c r="G126" i="2"/>
  <c r="F126" i="2" s="1"/>
  <c r="G125" i="2"/>
  <c r="F125" i="2" s="1"/>
  <c r="G124" i="2"/>
  <c r="F124" i="2" s="1"/>
  <c r="G123" i="2"/>
  <c r="F123" i="2" s="1"/>
  <c r="G121" i="2"/>
  <c r="F121" i="2" s="1"/>
  <c r="G120" i="2"/>
  <c r="F120" i="2" s="1"/>
  <c r="G114" i="2"/>
  <c r="F114" i="2" s="1"/>
  <c r="G113" i="2"/>
  <c r="F113" i="2" s="1"/>
  <c r="G112" i="2"/>
  <c r="F112" i="2" s="1"/>
  <c r="G111" i="2"/>
  <c r="F111" i="2" s="1"/>
  <c r="G110" i="2"/>
  <c r="F110" i="2" s="1"/>
  <c r="G109" i="2"/>
  <c r="F109" i="2" s="1"/>
  <c r="G107" i="2"/>
  <c r="F107" i="2" s="1"/>
  <c r="G106" i="2"/>
  <c r="F106" i="2" s="1"/>
  <c r="G104" i="2"/>
  <c r="F104" i="2" s="1"/>
  <c r="G103" i="2"/>
  <c r="F103" i="2" s="1"/>
  <c r="G102" i="2"/>
  <c r="F102" i="2" s="1"/>
  <c r="G100" i="2"/>
  <c r="F100" i="2" s="1"/>
  <c r="G99" i="2"/>
  <c r="F99" i="2" s="1"/>
  <c r="G98" i="2"/>
  <c r="F98" i="2" s="1"/>
  <c r="Q201" i="1"/>
  <c r="G89" i="2"/>
  <c r="F89" i="2" s="1"/>
  <c r="G88" i="2"/>
  <c r="F88" i="2" s="1"/>
  <c r="T127" i="1"/>
  <c r="T130" i="1" s="1"/>
  <c r="G53" i="2"/>
  <c r="F53" i="2" s="1"/>
  <c r="G52" i="2"/>
  <c r="F52" i="2" s="1"/>
  <c r="G51" i="2"/>
  <c r="F51" i="2" s="1"/>
  <c r="G50" i="2"/>
  <c r="F50" i="2" s="1"/>
  <c r="G49" i="2"/>
  <c r="F49" i="2" s="1"/>
  <c r="G48" i="2"/>
  <c r="F48" i="2" s="1"/>
  <c r="G44" i="2"/>
  <c r="F44" i="2" s="1"/>
  <c r="G43" i="2"/>
  <c r="F43" i="2" s="1"/>
  <c r="G42" i="2"/>
  <c r="F42" i="2" s="1"/>
  <c r="G41" i="2"/>
  <c r="F41" i="2" s="1"/>
  <c r="G40" i="2"/>
  <c r="F40" i="2" s="1"/>
  <c r="G34" i="2"/>
  <c r="F34" i="2" s="1"/>
  <c r="G38" i="2"/>
  <c r="F38" i="2" s="1"/>
  <c r="G37" i="2"/>
  <c r="F37" i="2" s="1"/>
  <c r="G35" i="2"/>
  <c r="F35" i="2" s="1"/>
  <c r="G32" i="2"/>
  <c r="F32" i="2" s="1"/>
  <c r="G30" i="2"/>
  <c r="F30" i="2" s="1"/>
  <c r="AC96" i="1"/>
  <c r="G25" i="2"/>
  <c r="F25" i="2" s="1"/>
  <c r="G24" i="2"/>
  <c r="F24" i="2" s="1"/>
  <c r="S91" i="1"/>
  <c r="G22" i="2"/>
  <c r="F22" i="2" s="1"/>
  <c r="G21" i="2"/>
  <c r="F21" i="2" s="1"/>
  <c r="G18" i="2"/>
  <c r="F18" i="2" s="1"/>
  <c r="P74" i="1"/>
  <c r="V74" i="1" s="1"/>
  <c r="Q70" i="1"/>
  <c r="P70" i="1"/>
  <c r="S69" i="1"/>
  <c r="Q69" i="1"/>
  <c r="P69" i="1"/>
  <c r="R68" i="1"/>
  <c r="T68" i="1" s="1"/>
  <c r="V65" i="1"/>
  <c r="W65" i="1" s="1"/>
  <c r="G189" i="7"/>
  <c r="H108" i="7"/>
  <c r="Q82" i="7"/>
  <c r="R69" i="7"/>
  <c r="I83" i="7"/>
  <c r="G217" i="7"/>
  <c r="R83" i="7"/>
  <c r="R144" i="7"/>
  <c r="R152" i="7"/>
  <c r="I282" i="7"/>
  <c r="G284" i="7"/>
  <c r="R187" i="7"/>
  <c r="H185" i="7"/>
  <c r="G178" i="7"/>
  <c r="I281" i="7"/>
  <c r="I276" i="7"/>
  <c r="I275" i="7"/>
  <c r="G268" i="7"/>
  <c r="G223" i="7"/>
  <c r="I187" i="7"/>
  <c r="G185" i="7"/>
  <c r="G181" i="7"/>
  <c r="I144" i="7"/>
  <c r="I152" i="7"/>
  <c r="I151" i="7"/>
  <c r="R68" i="7"/>
  <c r="I69" i="7"/>
  <c r="H171" i="7"/>
  <c r="F171" i="7"/>
  <c r="H129" i="7"/>
  <c r="G129" i="7"/>
  <c r="F129" i="7"/>
  <c r="E129" i="7"/>
  <c r="H121" i="7"/>
  <c r="F121" i="7"/>
  <c r="P108" i="7"/>
  <c r="O108" i="7"/>
  <c r="N108" i="7"/>
  <c r="M108" i="7"/>
  <c r="L108" i="7"/>
  <c r="K108" i="7"/>
  <c r="J108" i="7"/>
  <c r="R282" i="7"/>
  <c r="R279" i="7"/>
  <c r="I265" i="7"/>
  <c r="I264" i="7"/>
  <c r="R265" i="7"/>
  <c r="R264" i="7"/>
  <c r="H218" i="7"/>
  <c r="H234" i="7"/>
  <c r="I234" i="7" s="1"/>
  <c r="H242" i="7"/>
  <c r="R250" i="7"/>
  <c r="I250" i="7"/>
  <c r="R242" i="7"/>
  <c r="I242" i="7"/>
  <c r="R235" i="7"/>
  <c r="I235" i="7"/>
  <c r="Q234" i="7"/>
  <c r="R234" i="7" s="1"/>
  <c r="R220" i="7"/>
  <c r="I220" i="7"/>
  <c r="R218" i="7"/>
  <c r="R208" i="7"/>
  <c r="I208" i="7"/>
  <c r="I198" i="7"/>
  <c r="R195" i="7"/>
  <c r="I195" i="7"/>
  <c r="Q193" i="7"/>
  <c r="R193" i="7" s="1"/>
  <c r="I193" i="7"/>
  <c r="Q181" i="7"/>
  <c r="H181" i="7"/>
  <c r="H180" i="7"/>
  <c r="H179" i="7"/>
  <c r="H178" i="7"/>
  <c r="H157" i="7"/>
  <c r="I157" i="7" s="1"/>
  <c r="I141" i="7"/>
  <c r="R157" i="7"/>
  <c r="R141" i="7"/>
  <c r="R140" i="7"/>
  <c r="I140" i="7"/>
  <c r="R118" i="7"/>
  <c r="I118" i="7"/>
  <c r="R117" i="7"/>
  <c r="I117" i="7"/>
  <c r="R107" i="7"/>
  <c r="I107" i="7"/>
  <c r="R106" i="7"/>
  <c r="I106" i="7"/>
  <c r="R105" i="7"/>
  <c r="I105" i="7"/>
  <c r="R104" i="7"/>
  <c r="I104" i="7"/>
  <c r="R103" i="7"/>
  <c r="I103" i="7"/>
  <c r="R97" i="7"/>
  <c r="I68" i="7"/>
  <c r="W74" i="1" l="1"/>
  <c r="AB127" i="1"/>
  <c r="AB130" i="1" s="1"/>
  <c r="W127" i="1"/>
  <c r="AB206" i="1"/>
  <c r="W206" i="1"/>
  <c r="AB226" i="1"/>
  <c r="W226" i="1"/>
  <c r="W262" i="1"/>
  <c r="W118" i="1"/>
  <c r="W253" i="1"/>
  <c r="AB119" i="1"/>
  <c r="AC119" i="1" s="1"/>
  <c r="W119" i="1"/>
  <c r="AB210" i="1"/>
  <c r="W210" i="1"/>
  <c r="AB219" i="1"/>
  <c r="AC219" i="1" s="1"/>
  <c r="W219" i="1"/>
  <c r="W240" i="1"/>
  <c r="AB254" i="1"/>
  <c r="W254" i="1"/>
  <c r="AB71" i="1"/>
  <c r="AB120" i="1"/>
  <c r="AC120" i="1" s="1"/>
  <c r="W120" i="1"/>
  <c r="W273" i="1"/>
  <c r="Q76" i="1"/>
  <c r="AC147" i="1"/>
  <c r="AB205" i="1"/>
  <c r="T285" i="1"/>
  <c r="I218" i="7"/>
  <c r="H253" i="7"/>
  <c r="V130" i="1"/>
  <c r="AB114" i="1"/>
  <c r="AB263" i="1"/>
  <c r="AB274" i="1"/>
  <c r="AB265" i="1"/>
  <c r="AD265" i="1" s="1"/>
  <c r="AE265" i="1" s="1"/>
  <c r="AB250" i="1"/>
  <c r="AB211" i="1"/>
  <c r="AB220" i="1"/>
  <c r="AB242" i="1"/>
  <c r="AB212" i="1"/>
  <c r="AB252" i="1"/>
  <c r="AB209" i="1"/>
  <c r="AB230" i="1"/>
  <c r="AB244" i="1"/>
  <c r="AB115" i="1"/>
  <c r="AB66" i="1"/>
  <c r="AB73" i="1"/>
  <c r="AB65" i="1"/>
  <c r="AB264" i="1"/>
  <c r="AB168" i="1"/>
  <c r="D17" i="4"/>
  <c r="D10" i="4"/>
  <c r="D10" i="9" s="1"/>
  <c r="D9" i="4"/>
  <c r="D9" i="9" s="1"/>
  <c r="F17" i="4"/>
  <c r="F9" i="4"/>
  <c r="F9" i="9" s="1"/>
  <c r="AD137" i="1"/>
  <c r="AE137" i="1" s="1"/>
  <c r="AC137" i="1"/>
  <c r="F90" i="2"/>
  <c r="AC85" i="1"/>
  <c r="AB74" i="1"/>
  <c r="AC74" i="1" s="1"/>
  <c r="G36" i="2"/>
  <c r="F36" i="2" s="1"/>
  <c r="G39" i="2"/>
  <c r="F39" i="2" s="1"/>
  <c r="V213" i="1"/>
  <c r="G127" i="2"/>
  <c r="F127" i="2" s="1"/>
  <c r="V237" i="1"/>
  <c r="W237" i="1" s="1"/>
  <c r="G95" i="2"/>
  <c r="F95" i="2" s="1"/>
  <c r="G143" i="2"/>
  <c r="F143" i="2" s="1"/>
  <c r="I279" i="7"/>
  <c r="I97" i="7"/>
  <c r="V167" i="1"/>
  <c r="W167" i="1" s="1"/>
  <c r="V247" i="1"/>
  <c r="W247" i="1" s="1"/>
  <c r="AB87" i="1"/>
  <c r="AD87" i="1" s="1"/>
  <c r="AE87" i="1" s="1"/>
  <c r="V267" i="1"/>
  <c r="W267" i="1" s="1"/>
  <c r="AD151" i="1"/>
  <c r="AE151" i="1" s="1"/>
  <c r="AB102" i="1"/>
  <c r="AC102" i="1" s="1"/>
  <c r="Q162" i="1"/>
  <c r="V215" i="1"/>
  <c r="R112" i="1"/>
  <c r="Q281" i="1"/>
  <c r="G7" i="2"/>
  <c r="F7" i="2" s="1"/>
  <c r="AB153" i="1"/>
  <c r="G121" i="7"/>
  <c r="AB149" i="1"/>
  <c r="AC149" i="1" s="1"/>
  <c r="V235" i="1"/>
  <c r="W235" i="1" s="1"/>
  <c r="AB134" i="1"/>
  <c r="AB251" i="1"/>
  <c r="R91" i="1"/>
  <c r="AB176" i="1"/>
  <c r="AB178" i="1"/>
  <c r="AB157" i="1"/>
  <c r="AC157" i="1" s="1"/>
  <c r="AB197" i="1"/>
  <c r="AB218" i="1"/>
  <c r="AD188" i="1"/>
  <c r="AE188" i="1" s="1"/>
  <c r="AC186" i="1"/>
  <c r="AB266" i="1"/>
  <c r="AD266" i="1" s="1"/>
  <c r="AE266" i="1" s="1"/>
  <c r="AB86" i="1"/>
  <c r="V275" i="1"/>
  <c r="G181" i="2"/>
  <c r="F181" i="2" s="1"/>
  <c r="AB89" i="1"/>
  <c r="AD89" i="1" s="1"/>
  <c r="AE89" i="1" s="1"/>
  <c r="AB160" i="1"/>
  <c r="S201" i="1"/>
  <c r="G108" i="2"/>
  <c r="F108" i="2" s="1"/>
  <c r="G115" i="2"/>
  <c r="F115" i="2" s="1"/>
  <c r="G122" i="2"/>
  <c r="F122" i="2" s="1"/>
  <c r="V208" i="1"/>
  <c r="G129" i="2"/>
  <c r="F129" i="2" s="1"/>
  <c r="V216" i="1"/>
  <c r="G138" i="2"/>
  <c r="F138" i="2" s="1"/>
  <c r="V227" i="1"/>
  <c r="G155" i="2"/>
  <c r="V246" i="1"/>
  <c r="W246" i="1" s="1"/>
  <c r="G158" i="2"/>
  <c r="F158" i="2" s="1"/>
  <c r="V249" i="1"/>
  <c r="V272" i="1"/>
  <c r="AB104" i="1"/>
  <c r="AC104" i="1" s="1"/>
  <c r="AB118" i="1"/>
  <c r="AC194" i="1"/>
  <c r="AD194" i="1"/>
  <c r="AE194" i="1" s="1"/>
  <c r="AB84" i="1"/>
  <c r="V70" i="1"/>
  <c r="W70" i="1" s="1"/>
  <c r="AC110" i="1"/>
  <c r="AD110" i="1"/>
  <c r="AE110" i="1" s="1"/>
  <c r="R281" i="1"/>
  <c r="V277" i="1"/>
  <c r="V69" i="1"/>
  <c r="W69" i="1" s="1"/>
  <c r="G140" i="2"/>
  <c r="F140" i="2" s="1"/>
  <c r="V232" i="1"/>
  <c r="Q91" i="1"/>
  <c r="Q112" i="1"/>
  <c r="V224" i="1"/>
  <c r="W224" i="1" s="1"/>
  <c r="G157" i="2"/>
  <c r="F157" i="2" s="1"/>
  <c r="G182" i="2"/>
  <c r="F182" i="2" s="1"/>
  <c r="V276" i="1"/>
  <c r="T170" i="1"/>
  <c r="T171" i="1" s="1"/>
  <c r="G57" i="2"/>
  <c r="F57" i="2" s="1"/>
  <c r="F58" i="2" s="1"/>
  <c r="V68" i="1"/>
  <c r="AC106" i="1"/>
  <c r="AD106" i="1"/>
  <c r="AE106" i="1" s="1"/>
  <c r="V117" i="1"/>
  <c r="V229" i="1"/>
  <c r="AB240" i="1"/>
  <c r="V245" i="1"/>
  <c r="AB181" i="1"/>
  <c r="AB233" i="1"/>
  <c r="AB273" i="1"/>
  <c r="AB279" i="1"/>
  <c r="AC279" i="1" s="1"/>
  <c r="T74" i="1"/>
  <c r="G14" i="2" s="1"/>
  <c r="F14" i="2" s="1"/>
  <c r="R162" i="1"/>
  <c r="G119" i="2"/>
  <c r="V204" i="1"/>
  <c r="W204" i="1" s="1"/>
  <c r="G139" i="2"/>
  <c r="F139" i="2" s="1"/>
  <c r="V228" i="1"/>
  <c r="G148" i="2"/>
  <c r="F148" i="2" s="1"/>
  <c r="G156" i="2"/>
  <c r="F156" i="2" s="1"/>
  <c r="G183" i="2"/>
  <c r="F183" i="2" s="1"/>
  <c r="G186" i="2"/>
  <c r="F186" i="2" s="1"/>
  <c r="V280" i="1"/>
  <c r="V217" i="1"/>
  <c r="V223" i="1"/>
  <c r="W223" i="1" s="1"/>
  <c r="AB253" i="1"/>
  <c r="AD253" i="1" s="1"/>
  <c r="AE253" i="1" s="1"/>
  <c r="G136" i="2"/>
  <c r="F136" i="2" s="1"/>
  <c r="G149" i="2"/>
  <c r="F149" i="2" s="1"/>
  <c r="V238" i="1"/>
  <c r="AB262" i="1"/>
  <c r="G184" i="2"/>
  <c r="F184" i="2" s="1"/>
  <c r="V278" i="1"/>
  <c r="V116" i="1"/>
  <c r="V225" i="1"/>
  <c r="AC108" i="1"/>
  <c r="AC109" i="1"/>
  <c r="G9" i="2"/>
  <c r="F9" i="2" s="1"/>
  <c r="G12" i="2"/>
  <c r="F12" i="2" s="1"/>
  <c r="S162" i="1"/>
  <c r="Q269" i="1"/>
  <c r="P162" i="1"/>
  <c r="G47" i="2"/>
  <c r="E17" i="4"/>
  <c r="R201" i="1"/>
  <c r="P112" i="1"/>
  <c r="R170" i="1"/>
  <c r="G13" i="2"/>
  <c r="F13" i="2" s="1"/>
  <c r="S281" i="1"/>
  <c r="C17" i="4"/>
  <c r="G97" i="2"/>
  <c r="F97" i="2" s="1"/>
  <c r="S112" i="1"/>
  <c r="G90" i="2"/>
  <c r="G128" i="2"/>
  <c r="F128" i="2" s="1"/>
  <c r="G134" i="2"/>
  <c r="F134" i="2" s="1"/>
  <c r="G105" i="2"/>
  <c r="F105" i="2" s="1"/>
  <c r="G135" i="2"/>
  <c r="F135" i="2" s="1"/>
  <c r="G96" i="2"/>
  <c r="F96" i="2" s="1"/>
  <c r="G101" i="2"/>
  <c r="F101" i="2" s="1"/>
  <c r="G33" i="2"/>
  <c r="F33" i="2" s="1"/>
  <c r="G31" i="2"/>
  <c r="F31" i="2" s="1"/>
  <c r="S76" i="1"/>
  <c r="T67" i="1"/>
  <c r="AC88" i="1"/>
  <c r="T69" i="1"/>
  <c r="R76" i="1"/>
  <c r="G20" i="2"/>
  <c r="F20" i="2" s="1"/>
  <c r="G23" i="2"/>
  <c r="F23" i="2" s="1"/>
  <c r="T70" i="1"/>
  <c r="P76" i="1"/>
  <c r="H86" i="7"/>
  <c r="H201" i="7"/>
  <c r="G86" i="7"/>
  <c r="H284" i="7"/>
  <c r="H268" i="7"/>
  <c r="H160" i="7"/>
  <c r="AD120" i="1" l="1"/>
  <c r="AE120" i="1" s="1"/>
  <c r="W278" i="1"/>
  <c r="W238" i="1"/>
  <c r="W276" i="1"/>
  <c r="W216" i="1"/>
  <c r="W275" i="1"/>
  <c r="AB215" i="1"/>
  <c r="W215" i="1"/>
  <c r="W280" i="1"/>
  <c r="AC68" i="1"/>
  <c r="W68" i="1"/>
  <c r="W272" i="1"/>
  <c r="AB213" i="1"/>
  <c r="W213" i="1"/>
  <c r="W225" i="1"/>
  <c r="W228" i="1"/>
  <c r="W229" i="1"/>
  <c r="W117" i="1"/>
  <c r="W232" i="1"/>
  <c r="W249" i="1"/>
  <c r="W227" i="1"/>
  <c r="W208" i="1"/>
  <c r="W116" i="1"/>
  <c r="W217" i="1"/>
  <c r="W245" i="1"/>
  <c r="W277" i="1"/>
  <c r="AB67" i="1"/>
  <c r="W67" i="1"/>
  <c r="G189" i="2"/>
  <c r="F47" i="2"/>
  <c r="F55" i="2" s="1"/>
  <c r="G55" i="2"/>
  <c r="AB224" i="1"/>
  <c r="V285" i="1"/>
  <c r="G17" i="4"/>
  <c r="AB223" i="1"/>
  <c r="AB204" i="1"/>
  <c r="AB167" i="1"/>
  <c r="AB170" i="1" s="1"/>
  <c r="V123" i="1"/>
  <c r="W130" i="1"/>
  <c r="AC265" i="1"/>
  <c r="AB267" i="1"/>
  <c r="AD267" i="1" s="1"/>
  <c r="AE267" i="1" s="1"/>
  <c r="AD119" i="1"/>
  <c r="AE119" i="1" s="1"/>
  <c r="AB69" i="1"/>
  <c r="AB70" i="1"/>
  <c r="AD160" i="1"/>
  <c r="AE160" i="1" s="1"/>
  <c r="AC160" i="1"/>
  <c r="AD153" i="1"/>
  <c r="AE153" i="1" s="1"/>
  <c r="AC153" i="1"/>
  <c r="E10" i="4"/>
  <c r="E10" i="9" s="1"/>
  <c r="E7" i="4"/>
  <c r="E7" i="9" s="1"/>
  <c r="F10" i="4"/>
  <c r="F10" i="9" s="1"/>
  <c r="E8" i="4"/>
  <c r="E8" i="9" s="1"/>
  <c r="AD74" i="1"/>
  <c r="AE74" i="1" s="1"/>
  <c r="F45" i="2"/>
  <c r="F119" i="2"/>
  <c r="H155" i="2"/>
  <c r="F155" i="2"/>
  <c r="AB237" i="1"/>
  <c r="V256" i="1"/>
  <c r="AD205" i="1"/>
  <c r="AE205" i="1" s="1"/>
  <c r="S284" i="1"/>
  <c r="R284" i="1"/>
  <c r="D7" i="4"/>
  <c r="D7" i="9" s="1"/>
  <c r="Q284" i="1"/>
  <c r="AB247" i="1"/>
  <c r="AC99" i="1"/>
  <c r="AC87" i="1"/>
  <c r="AC266" i="1"/>
  <c r="D8" i="4"/>
  <c r="D8" i="9" s="1"/>
  <c r="AC205" i="1"/>
  <c r="AB235" i="1"/>
  <c r="V170" i="1"/>
  <c r="V171" i="1" s="1"/>
  <c r="V269" i="1"/>
  <c r="AB148" i="1"/>
  <c r="AC148" i="1" s="1"/>
  <c r="AD279" i="1"/>
  <c r="AE279" i="1" s="1"/>
  <c r="AC188" i="1"/>
  <c r="AC89" i="1"/>
  <c r="E11" i="4"/>
  <c r="E11" i="9" s="1"/>
  <c r="AD86" i="1"/>
  <c r="AE86" i="1" s="1"/>
  <c r="AC86" i="1"/>
  <c r="G58" i="2"/>
  <c r="AB228" i="1"/>
  <c r="AB117" i="1"/>
  <c r="AB97" i="1"/>
  <c r="AC97" i="1" s="1"/>
  <c r="AB277" i="1"/>
  <c r="G45" i="2"/>
  <c r="AB229" i="1"/>
  <c r="AB100" i="1"/>
  <c r="AB249" i="1"/>
  <c r="AB216" i="1"/>
  <c r="AB225" i="1"/>
  <c r="AC107" i="1"/>
  <c r="AD107" i="1"/>
  <c r="AE107" i="1" s="1"/>
  <c r="AB199" i="1"/>
  <c r="AB238" i="1"/>
  <c r="AB195" i="1"/>
  <c r="V112" i="1"/>
  <c r="AB280" i="1"/>
  <c r="AB248" i="1"/>
  <c r="AB232" i="1"/>
  <c r="AC84" i="1"/>
  <c r="AD84" i="1"/>
  <c r="AE84" i="1" s="1"/>
  <c r="AB272" i="1"/>
  <c r="V281" i="1"/>
  <c r="AB227" i="1"/>
  <c r="AB208" i="1"/>
  <c r="AB275" i="1"/>
  <c r="AB116" i="1"/>
  <c r="AB278" i="1"/>
  <c r="AB105" i="1"/>
  <c r="AC105" i="1" s="1"/>
  <c r="AB245" i="1"/>
  <c r="AB184" i="1"/>
  <c r="G178" i="2"/>
  <c r="F178" i="2" s="1"/>
  <c r="F187" i="2" s="1"/>
  <c r="T281" i="1"/>
  <c r="AC253" i="1"/>
  <c r="AB217" i="1"/>
  <c r="AB191" i="1"/>
  <c r="V91" i="1"/>
  <c r="AB79" i="1"/>
  <c r="AB276" i="1"/>
  <c r="AB177" i="1"/>
  <c r="AC177" i="1" s="1"/>
  <c r="AB192" i="1"/>
  <c r="V201" i="1"/>
  <c r="AB133" i="1"/>
  <c r="V162" i="1"/>
  <c r="V76" i="1"/>
  <c r="G6" i="2"/>
  <c r="F6" i="2" s="1"/>
  <c r="F8" i="4"/>
  <c r="F8" i="9" s="1"/>
  <c r="G146" i="2"/>
  <c r="F146" i="2" s="1"/>
  <c r="T112" i="1"/>
  <c r="F11" i="4"/>
  <c r="F11" i="9" s="1"/>
  <c r="G169" i="2"/>
  <c r="F169" i="2" s="1"/>
  <c r="F175" i="2" s="1"/>
  <c r="T269" i="1"/>
  <c r="T91" i="1"/>
  <c r="G17" i="2"/>
  <c r="F17" i="2" s="1"/>
  <c r="F26" i="2" s="1"/>
  <c r="F7" i="4"/>
  <c r="F7" i="9" s="1"/>
  <c r="G94" i="2"/>
  <c r="F94" i="2" s="1"/>
  <c r="F116" i="2" s="1"/>
  <c r="T201" i="1"/>
  <c r="T257" i="1" s="1"/>
  <c r="T162" i="1"/>
  <c r="C8" i="4"/>
  <c r="C8" i="9" s="1"/>
  <c r="G11" i="2"/>
  <c r="F11" i="2" s="1"/>
  <c r="G10" i="2"/>
  <c r="F10" i="2" s="1"/>
  <c r="G8" i="2"/>
  <c r="F8" i="2" s="1"/>
  <c r="E9" i="4"/>
  <c r="E9" i="9" s="1"/>
  <c r="D11" i="4"/>
  <c r="D11" i="9" s="1"/>
  <c r="T76" i="1"/>
  <c r="G8" i="9" l="1"/>
  <c r="AD68" i="1"/>
  <c r="AE68" i="1" s="1"/>
  <c r="AD285" i="1"/>
  <c r="AE285" i="1" s="1"/>
  <c r="W285" i="1"/>
  <c r="AC267" i="1"/>
  <c r="W123" i="1"/>
  <c r="T282" i="1"/>
  <c r="V282" i="1"/>
  <c r="V257" i="1"/>
  <c r="T163" i="1"/>
  <c r="V163" i="1"/>
  <c r="V92" i="1"/>
  <c r="W269" i="1"/>
  <c r="T92" i="1"/>
  <c r="W170" i="1"/>
  <c r="W171" i="1" s="1"/>
  <c r="AD143" i="1"/>
  <c r="AE143" i="1" s="1"/>
  <c r="AC143" i="1"/>
  <c r="G8" i="4"/>
  <c r="F15" i="2"/>
  <c r="F164" i="2"/>
  <c r="G164" i="2"/>
  <c r="V284" i="1"/>
  <c r="W256" i="1"/>
  <c r="T284" i="1"/>
  <c r="T287" i="1" s="1"/>
  <c r="F12" i="9"/>
  <c r="W91" i="1"/>
  <c r="AD235" i="1"/>
  <c r="AE235" i="1" s="1"/>
  <c r="AC235" i="1"/>
  <c r="AB162" i="1"/>
  <c r="W201" i="1"/>
  <c r="W281" i="1"/>
  <c r="G26" i="2"/>
  <c r="G175" i="2"/>
  <c r="G187" i="2"/>
  <c r="G116" i="2"/>
  <c r="D12" i="9"/>
  <c r="W112" i="1"/>
  <c r="AD245" i="1"/>
  <c r="AE245" i="1" s="1"/>
  <c r="AC245" i="1"/>
  <c r="AD100" i="1"/>
  <c r="AE100" i="1" s="1"/>
  <c r="AC100" i="1"/>
  <c r="AC112" i="1" s="1"/>
  <c r="W162" i="1"/>
  <c r="AC217" i="1"/>
  <c r="AD217" i="1"/>
  <c r="AE217" i="1" s="1"/>
  <c r="AD280" i="1"/>
  <c r="AE280" i="1" s="1"/>
  <c r="AC280" i="1"/>
  <c r="E12" i="9"/>
  <c r="G15" i="2"/>
  <c r="F12" i="4"/>
  <c r="F192" i="2" l="1"/>
  <c r="W257" i="1"/>
  <c r="W282" i="1"/>
  <c r="W163" i="1"/>
  <c r="W76" i="1"/>
  <c r="W92" i="1" s="1"/>
  <c r="F16" i="9"/>
  <c r="F18" i="9"/>
  <c r="D18" i="9"/>
  <c r="D16" i="9"/>
  <c r="F16" i="4"/>
  <c r="F18" i="4"/>
  <c r="E16" i="9"/>
  <c r="E18" i="9"/>
  <c r="W284" i="1" l="1"/>
  <c r="W287" i="1" s="1"/>
  <c r="H66" i="7"/>
  <c r="H71" i="7" s="1"/>
  <c r="G65" i="7"/>
  <c r="R64" i="7"/>
  <c r="I64" i="7"/>
  <c r="I263" i="7"/>
  <c r="I262" i="7"/>
  <c r="I251" i="7"/>
  <c r="I249" i="7"/>
  <c r="I248" i="7"/>
  <c r="I247" i="7"/>
  <c r="I241" i="7"/>
  <c r="I240" i="7"/>
  <c r="I239" i="7"/>
  <c r="I238" i="7"/>
  <c r="I233" i="7"/>
  <c r="I232" i="7"/>
  <c r="I230" i="7"/>
  <c r="I229" i="7"/>
  <c r="I226" i="7"/>
  <c r="I225" i="7"/>
  <c r="I221" i="7"/>
  <c r="I217" i="7"/>
  <c r="I214" i="7"/>
  <c r="I213" i="7"/>
  <c r="I212" i="7"/>
  <c r="I211" i="7"/>
  <c r="I209" i="7"/>
  <c r="I199" i="7"/>
  <c r="I197" i="7"/>
  <c r="I196" i="7"/>
  <c r="I194" i="7"/>
  <c r="I192" i="7"/>
  <c r="I190" i="7"/>
  <c r="I189" i="7"/>
  <c r="I188" i="7"/>
  <c r="I184" i="7"/>
  <c r="I183" i="7"/>
  <c r="I182" i="7"/>
  <c r="I181" i="7"/>
  <c r="I178" i="7"/>
  <c r="I169" i="7"/>
  <c r="I158" i="7"/>
  <c r="I156" i="7"/>
  <c r="I154" i="7"/>
  <c r="I153" i="7"/>
  <c r="I150" i="7"/>
  <c r="I146" i="7"/>
  <c r="I142" i="7"/>
  <c r="I139" i="7"/>
  <c r="I138" i="7"/>
  <c r="I137" i="7"/>
  <c r="I127" i="7"/>
  <c r="I129" i="7" s="1"/>
  <c r="I116" i="7"/>
  <c r="I115" i="7"/>
  <c r="I114" i="7"/>
  <c r="I113" i="7"/>
  <c r="I112" i="7"/>
  <c r="I101" i="7"/>
  <c r="I100" i="7"/>
  <c r="I98" i="7"/>
  <c r="I95" i="7"/>
  <c r="I85" i="7"/>
  <c r="I84" i="7"/>
  <c r="I82" i="7"/>
  <c r="I81" i="7"/>
  <c r="I78" i="7"/>
  <c r="I63" i="7"/>
  <c r="H286" i="7" l="1"/>
  <c r="H289" i="7" s="1"/>
  <c r="K36" i="7"/>
  <c r="G71" i="7"/>
  <c r="I121" i="7"/>
  <c r="I65" i="7"/>
  <c r="Q281" i="7"/>
  <c r="R281" i="7" s="1"/>
  <c r="Q280" i="7"/>
  <c r="R280" i="7" s="1"/>
  <c r="F280" i="7"/>
  <c r="E280" i="7"/>
  <c r="R278" i="7"/>
  <c r="E278" i="7"/>
  <c r="I278" i="7" s="1"/>
  <c r="Q277" i="7"/>
  <c r="R277" i="7" s="1"/>
  <c r="F277" i="7"/>
  <c r="E277" i="7"/>
  <c r="Q276" i="7"/>
  <c r="R276" i="7" s="1"/>
  <c r="R275" i="7"/>
  <c r="Q274" i="7"/>
  <c r="R274" i="7" s="1"/>
  <c r="E274" i="7"/>
  <c r="Q266" i="7"/>
  <c r="R266" i="7" s="1"/>
  <c r="E266" i="7"/>
  <c r="R263" i="7"/>
  <c r="R262" i="7"/>
  <c r="Q261" i="7"/>
  <c r="R261" i="7" s="1"/>
  <c r="F261" i="7"/>
  <c r="F268" i="7" s="1"/>
  <c r="R251" i="7"/>
  <c r="Q249" i="7"/>
  <c r="R249" i="7" s="1"/>
  <c r="Q248" i="7"/>
  <c r="R248" i="7" s="1"/>
  <c r="N247" i="7"/>
  <c r="R247" i="7" s="1"/>
  <c r="E246" i="7"/>
  <c r="R245" i="7"/>
  <c r="R244" i="7"/>
  <c r="E244" i="7"/>
  <c r="R243" i="7"/>
  <c r="E243" i="7"/>
  <c r="I243" i="7" s="1"/>
  <c r="R241" i="7"/>
  <c r="Q240" i="7"/>
  <c r="R240" i="7" s="1"/>
  <c r="N239" i="7"/>
  <c r="Q238" i="7"/>
  <c r="R238" i="7" s="1"/>
  <c r="Q237" i="7"/>
  <c r="R237" i="7" s="1"/>
  <c r="E237" i="7"/>
  <c r="I237" i="7" s="1"/>
  <c r="Q236" i="7"/>
  <c r="R236" i="7" s="1"/>
  <c r="E236" i="7"/>
  <c r="Q232" i="7"/>
  <c r="R232" i="7" s="1"/>
  <c r="Q231" i="7"/>
  <c r="R231" i="7" s="1"/>
  <c r="G231" i="7"/>
  <c r="F231" i="7"/>
  <c r="E231" i="7"/>
  <c r="R230" i="7"/>
  <c r="Q229" i="7"/>
  <c r="R229" i="7" s="1"/>
  <c r="Q228" i="7"/>
  <c r="R228" i="7" s="1"/>
  <c r="G228" i="7"/>
  <c r="E228" i="7"/>
  <c r="Q227" i="7"/>
  <c r="E227" i="7"/>
  <c r="R226" i="7"/>
  <c r="Q225" i="7"/>
  <c r="R225" i="7" s="1"/>
  <c r="R224" i="7"/>
  <c r="E224" i="7"/>
  <c r="I224" i="7" s="1"/>
  <c r="R223" i="7"/>
  <c r="E223" i="7"/>
  <c r="I223" i="7" s="1"/>
  <c r="R222" i="7"/>
  <c r="E222" i="7"/>
  <c r="R221" i="7"/>
  <c r="R217" i="7"/>
  <c r="Q215" i="7"/>
  <c r="R215" i="7" s="1"/>
  <c r="E215" i="7"/>
  <c r="I215" i="7" s="1"/>
  <c r="R214" i="7"/>
  <c r="R213" i="7"/>
  <c r="Q212" i="7"/>
  <c r="R212" i="7" s="1"/>
  <c r="R211" i="7"/>
  <c r="Q210" i="7"/>
  <c r="E210" i="7"/>
  <c r="R207" i="7"/>
  <c r="F207" i="7"/>
  <c r="R199" i="7"/>
  <c r="R197" i="7"/>
  <c r="R194" i="7"/>
  <c r="R192" i="7"/>
  <c r="R191" i="7"/>
  <c r="R190" i="7"/>
  <c r="R189" i="7"/>
  <c r="R188" i="7"/>
  <c r="R186" i="7"/>
  <c r="G186" i="7"/>
  <c r="I186" i="7" s="1"/>
  <c r="R185" i="7"/>
  <c r="E185" i="7"/>
  <c r="I185" i="7" s="1"/>
  <c r="R184" i="7"/>
  <c r="N183" i="7"/>
  <c r="R183" i="7" s="1"/>
  <c r="N182" i="7"/>
  <c r="R182" i="7" s="1"/>
  <c r="R181" i="7"/>
  <c r="Q180" i="7"/>
  <c r="R180" i="7" s="1"/>
  <c r="G180" i="7"/>
  <c r="F180" i="7"/>
  <c r="E180" i="7"/>
  <c r="R179" i="7"/>
  <c r="G179" i="7"/>
  <c r="G201" i="7" s="1"/>
  <c r="F179" i="7"/>
  <c r="F201" i="7" s="1"/>
  <c r="E179" i="7"/>
  <c r="R178" i="7"/>
  <c r="K171" i="7"/>
  <c r="J171" i="7"/>
  <c r="E171" i="7"/>
  <c r="R169" i="7"/>
  <c r="R168" i="7"/>
  <c r="G171" i="7"/>
  <c r="K160" i="7"/>
  <c r="D160" i="7"/>
  <c r="R158" i="7"/>
  <c r="Q156" i="7"/>
  <c r="R156" i="7" s="1"/>
  <c r="R155" i="7"/>
  <c r="F155" i="7"/>
  <c r="R154" i="7"/>
  <c r="R153" i="7"/>
  <c r="R150" i="7"/>
  <c r="Q149" i="7"/>
  <c r="R149" i="7" s="1"/>
  <c r="F149" i="7"/>
  <c r="I149" i="7" s="1"/>
  <c r="Q148" i="7"/>
  <c r="R148" i="7" s="1"/>
  <c r="F148" i="7"/>
  <c r="E148" i="7"/>
  <c r="R146" i="7"/>
  <c r="Q143" i="7"/>
  <c r="R143" i="7" s="1"/>
  <c r="G143" i="7"/>
  <c r="R142" i="7"/>
  <c r="R139" i="7"/>
  <c r="Q138" i="7"/>
  <c r="R138" i="7" s="1"/>
  <c r="R137" i="7"/>
  <c r="R136" i="7"/>
  <c r="E136" i="7"/>
  <c r="K129" i="7"/>
  <c r="J129" i="7"/>
  <c r="D129" i="7"/>
  <c r="R127" i="7"/>
  <c r="K121" i="7"/>
  <c r="J121" i="7"/>
  <c r="E121" i="7"/>
  <c r="Q116" i="7"/>
  <c r="R116" i="7" s="1"/>
  <c r="R115" i="7"/>
  <c r="R114" i="7"/>
  <c r="R113" i="7"/>
  <c r="R112" i="7"/>
  <c r="R102" i="7"/>
  <c r="F102" i="7"/>
  <c r="R101" i="7"/>
  <c r="R100" i="7"/>
  <c r="F99" i="7"/>
  <c r="E99" i="7"/>
  <c r="R98" i="7"/>
  <c r="R96" i="7"/>
  <c r="F96" i="7"/>
  <c r="R95" i="7"/>
  <c r="R94" i="7"/>
  <c r="F94" i="7"/>
  <c r="E94" i="7"/>
  <c r="Q93" i="7"/>
  <c r="E93" i="7"/>
  <c r="R85" i="7"/>
  <c r="R84" i="7"/>
  <c r="R82" i="7"/>
  <c r="R81" i="7"/>
  <c r="R80" i="7"/>
  <c r="F80" i="7"/>
  <c r="I80" i="7" s="1"/>
  <c r="R78" i="7"/>
  <c r="R77" i="7"/>
  <c r="F77" i="7"/>
  <c r="E77" i="7"/>
  <c r="Q70" i="7"/>
  <c r="R70" i="7" s="1"/>
  <c r="E70" i="7"/>
  <c r="I70" i="7" s="1"/>
  <c r="R67" i="7"/>
  <c r="F67" i="7"/>
  <c r="E67" i="7"/>
  <c r="R66" i="7"/>
  <c r="F66" i="7"/>
  <c r="E66" i="7"/>
  <c r="R65" i="7"/>
  <c r="R63" i="7"/>
  <c r="G253" i="7" l="1"/>
  <c r="I67" i="7"/>
  <c r="E253" i="7"/>
  <c r="R210" i="7"/>
  <c r="Q253" i="7"/>
  <c r="I207" i="7"/>
  <c r="F253" i="7"/>
  <c r="R129" i="7"/>
  <c r="R71" i="7"/>
  <c r="H292" i="7"/>
  <c r="K34" i="7"/>
  <c r="I277" i="7"/>
  <c r="I280" i="7"/>
  <c r="F71" i="7"/>
  <c r="F86" i="7"/>
  <c r="E108" i="7"/>
  <c r="G108" i="7"/>
  <c r="F160" i="7"/>
  <c r="F284" i="7"/>
  <c r="R209" i="7"/>
  <c r="I216" i="7"/>
  <c r="R93" i="7"/>
  <c r="F108" i="7"/>
  <c r="G160" i="7"/>
  <c r="I179" i="7"/>
  <c r="I180" i="7"/>
  <c r="I148" i="7"/>
  <c r="I155" i="7"/>
  <c r="I244" i="7"/>
  <c r="I94" i="7"/>
  <c r="E160" i="7"/>
  <c r="I136" i="7"/>
  <c r="I143" i="7"/>
  <c r="J160" i="7" s="1"/>
  <c r="I227" i="7"/>
  <c r="R268" i="7"/>
  <c r="R86" i="7"/>
  <c r="I222" i="7"/>
  <c r="I236" i="7"/>
  <c r="I246" i="7"/>
  <c r="R246" i="7" s="1"/>
  <c r="E284" i="7"/>
  <c r="I274" i="7"/>
  <c r="E71" i="7"/>
  <c r="I66" i="7"/>
  <c r="I96" i="7"/>
  <c r="I168" i="7"/>
  <c r="I171" i="7" s="1"/>
  <c r="I191" i="7"/>
  <c r="R227" i="7"/>
  <c r="I231" i="7"/>
  <c r="E268" i="7"/>
  <c r="I266" i="7"/>
  <c r="R284" i="7"/>
  <c r="I77" i="7"/>
  <c r="I86" i="7" s="1"/>
  <c r="E86" i="7"/>
  <c r="I93" i="7"/>
  <c r="I99" i="7"/>
  <c r="Q99" i="7" s="1"/>
  <c r="I102" i="7"/>
  <c r="R171" i="7"/>
  <c r="I210" i="7"/>
  <c r="I228" i="7"/>
  <c r="R239" i="7"/>
  <c r="I261" i="7"/>
  <c r="R201" i="7"/>
  <c r="R160" i="7"/>
  <c r="R121" i="7"/>
  <c r="E201" i="7"/>
  <c r="E286" i="7" l="1"/>
  <c r="E289" i="7" s="1"/>
  <c r="F286" i="7"/>
  <c r="F289" i="7" s="1"/>
  <c r="G286" i="7"/>
  <c r="G289" i="7" s="1"/>
  <c r="I253" i="7"/>
  <c r="K37" i="7"/>
  <c r="I284" i="7"/>
  <c r="I108" i="7"/>
  <c r="K38" i="7"/>
  <c r="I268" i="7"/>
  <c r="I160" i="7"/>
  <c r="I201" i="7"/>
  <c r="I71" i="7"/>
  <c r="I286" i="7" l="1"/>
  <c r="E292" i="7"/>
  <c r="F292" i="7"/>
  <c r="I289" i="7" l="1"/>
  <c r="G292" i="7"/>
  <c r="K39" i="7"/>
  <c r="I292" i="7" l="1"/>
  <c r="K32" i="7" s="1"/>
  <c r="K33" i="7"/>
  <c r="AC246" i="1" l="1"/>
  <c r="AC209" i="1"/>
  <c r="AC195" i="1"/>
  <c r="AC185" i="1"/>
  <c r="AC168" i="1"/>
  <c r="AC114" i="1"/>
  <c r="AC80" i="1"/>
  <c r="AC73" i="1"/>
  <c r="AC71" i="1"/>
  <c r="AC66" i="1"/>
  <c r="AC65" i="1"/>
  <c r="AC287" i="1"/>
  <c r="AB287" i="1"/>
  <c r="AA287" i="1"/>
  <c r="Z287" i="1"/>
  <c r="AD278" i="1"/>
  <c r="AE278" i="1" s="1"/>
  <c r="AC277" i="1"/>
  <c r="AC276" i="1"/>
  <c r="AC275" i="1"/>
  <c r="AD274" i="1"/>
  <c r="AE274" i="1" s="1"/>
  <c r="AD276" i="1"/>
  <c r="AE276" i="1" s="1"/>
  <c r="AD275" i="1"/>
  <c r="AE275" i="1" s="1"/>
  <c r="AD273" i="1"/>
  <c r="AE273" i="1" s="1"/>
  <c r="AC272" i="1"/>
  <c r="AC264" i="1"/>
  <c r="AD263" i="1"/>
  <c r="AE263" i="1" s="1"/>
  <c r="AC262" i="1"/>
  <c r="AD254" i="1"/>
  <c r="AE254" i="1" s="1"/>
  <c r="AC252" i="1"/>
  <c r="AC251" i="1"/>
  <c r="AC250" i="1"/>
  <c r="AC249" i="1"/>
  <c r="AC248" i="1"/>
  <c r="AC247" i="1"/>
  <c r="AC244" i="1"/>
  <c r="AB243" i="1"/>
  <c r="AC243" i="1" s="1"/>
  <c r="AC242" i="1"/>
  <c r="AC240" i="1"/>
  <c r="AC238" i="1"/>
  <c r="AC237" i="1"/>
  <c r="AC233" i="1"/>
  <c r="AC232" i="1"/>
  <c r="AC231" i="1"/>
  <c r="AC230" i="1"/>
  <c r="AC229" i="1"/>
  <c r="AC228" i="1"/>
  <c r="AD277" i="1" l="1"/>
  <c r="AE277" i="1" s="1"/>
  <c r="AD272" i="1"/>
  <c r="AE272" i="1" s="1"/>
  <c r="AC273" i="1"/>
  <c r="AC263" i="1"/>
  <c r="AC254" i="1"/>
  <c r="AD248" i="1"/>
  <c r="AE248" i="1" s="1"/>
  <c r="AD262" i="1"/>
  <c r="AE262" i="1" s="1"/>
  <c r="AC278" i="1"/>
  <c r="AD264" i="1"/>
  <c r="AE264" i="1" s="1"/>
  <c r="AC274" i="1"/>
  <c r="AB256" i="1"/>
  <c r="AC224" i="1"/>
  <c r="AC223" i="1"/>
  <c r="AC220" i="1"/>
  <c r="AE281" i="1" l="1"/>
  <c r="AD281" i="1"/>
  <c r="AD269" i="1"/>
  <c r="AD226" i="1"/>
  <c r="AE226" i="1" s="1"/>
  <c r="AC226" i="1"/>
  <c r="AD227" i="1"/>
  <c r="AE227" i="1" s="1"/>
  <c r="AC227" i="1"/>
  <c r="AE269" i="1"/>
  <c r="AD218" i="1"/>
  <c r="AE218" i="1" s="1"/>
  <c r="AC218" i="1"/>
  <c r="AD225" i="1"/>
  <c r="AE225" i="1" s="1"/>
  <c r="AC225" i="1"/>
  <c r="AC215" i="1"/>
  <c r="AC212" i="1"/>
  <c r="AC213" i="1"/>
  <c r="AC211" i="1"/>
  <c r="AC210" i="1"/>
  <c r="AC208" i="1"/>
  <c r="AC206" i="1"/>
  <c r="AC204" i="1"/>
  <c r="AC199" i="1"/>
  <c r="AC197" i="1"/>
  <c r="AC196" i="1"/>
  <c r="AD195" i="1"/>
  <c r="AE195" i="1" s="1"/>
  <c r="AC190" i="1"/>
  <c r="AC189" i="1"/>
  <c r="AC187" i="1"/>
  <c r="AC184" i="1"/>
  <c r="AC181" i="1"/>
  <c r="AC180" i="1"/>
  <c r="AC179" i="1"/>
  <c r="AC176" i="1"/>
  <c r="AC175" i="1"/>
  <c r="AD168" i="1"/>
  <c r="AE168" i="1" s="1"/>
  <c r="AC167" i="1"/>
  <c r="AC170" i="1" s="1"/>
  <c r="AC141" i="1"/>
  <c r="AC140" i="1"/>
  <c r="AC136" i="1"/>
  <c r="AC135" i="1"/>
  <c r="AC134" i="1"/>
  <c r="AC118" i="1"/>
  <c r="AC117" i="1"/>
  <c r="AC116" i="1"/>
  <c r="AC115" i="1"/>
  <c r="AD282" i="1" l="1"/>
  <c r="AE282" i="1"/>
  <c r="AD135" i="1"/>
  <c r="AE135" i="1" s="1"/>
  <c r="AD197" i="1"/>
  <c r="AE197" i="1" s="1"/>
  <c r="AD157" i="1"/>
  <c r="AE157" i="1" s="1"/>
  <c r="AD149" i="1"/>
  <c r="AE149" i="1" s="1"/>
  <c r="AD141" i="1"/>
  <c r="AE141" i="1" s="1"/>
  <c r="AD150" i="1"/>
  <c r="AE150" i="1" s="1"/>
  <c r="AD117" i="1"/>
  <c r="AE117" i="1" s="1"/>
  <c r="AC133" i="1"/>
  <c r="AD136" i="1"/>
  <c r="AE136" i="1" s="1"/>
  <c r="AD144" i="1"/>
  <c r="AE144" i="1" s="1"/>
  <c r="AD178" i="1"/>
  <c r="AE178" i="1" s="1"/>
  <c r="AC178" i="1"/>
  <c r="AD180" i="1"/>
  <c r="AE180" i="1" s="1"/>
  <c r="AD187" i="1"/>
  <c r="AE187" i="1" s="1"/>
  <c r="AD191" i="1"/>
  <c r="AE191" i="1" s="1"/>
  <c r="AC191" i="1"/>
  <c r="AD212" i="1"/>
  <c r="AE212" i="1" s="1"/>
  <c r="AD159" i="1"/>
  <c r="AE159" i="1" s="1"/>
  <c r="AD140" i="1"/>
  <c r="AE140" i="1" s="1"/>
  <c r="AD148" i="1"/>
  <c r="AE148" i="1" s="1"/>
  <c r="AD155" i="1"/>
  <c r="AE155" i="1" s="1"/>
  <c r="AD192" i="1"/>
  <c r="AE192" i="1" s="1"/>
  <c r="AC192" i="1"/>
  <c r="AD196" i="1"/>
  <c r="AE196" i="1" s="1"/>
  <c r="AD116" i="1"/>
  <c r="AE116" i="1" s="1"/>
  <c r="AD127" i="1"/>
  <c r="AE127" i="1" s="1"/>
  <c r="AC127" i="1"/>
  <c r="AC130" i="1" s="1"/>
  <c r="AD134" i="1"/>
  <c r="AE134" i="1" s="1"/>
  <c r="AD154" i="1"/>
  <c r="AE154" i="1" s="1"/>
  <c r="AD189" i="1"/>
  <c r="AE189" i="1" s="1"/>
  <c r="AD216" i="1"/>
  <c r="AE216" i="1" s="1"/>
  <c r="AC216" i="1"/>
  <c r="AC256" i="1" s="1"/>
  <c r="AD98" i="1"/>
  <c r="AE98" i="1" s="1"/>
  <c r="AC70" i="1"/>
  <c r="AC69" i="1"/>
  <c r="AC67" i="1"/>
  <c r="AC162" i="1" l="1"/>
  <c r="AE130" i="1"/>
  <c r="AD130" i="1"/>
  <c r="AC76" i="1"/>
  <c r="AD103" i="1"/>
  <c r="AE103" i="1" s="1"/>
  <c r="AC79" i="1"/>
  <c r="AC91" i="1" s="1"/>
  <c r="AD101" i="1"/>
  <c r="AE101" i="1" s="1"/>
  <c r="AD65" i="1"/>
  <c r="AE65" i="1" s="1"/>
  <c r="AD252" i="1"/>
  <c r="AE252" i="1" s="1"/>
  <c r="AD251" i="1"/>
  <c r="AE251" i="1" s="1"/>
  <c r="AD250" i="1"/>
  <c r="AE250" i="1" s="1"/>
  <c r="AD249" i="1"/>
  <c r="AE249" i="1" s="1"/>
  <c r="AD247" i="1"/>
  <c r="AE247" i="1" s="1"/>
  <c r="AD246" i="1"/>
  <c r="AE246" i="1" s="1"/>
  <c r="AD244" i="1"/>
  <c r="AE244" i="1" s="1"/>
  <c r="AD243" i="1"/>
  <c r="AE243" i="1" s="1"/>
  <c r="AD242" i="1"/>
  <c r="AE242" i="1" s="1"/>
  <c r="AD240" i="1"/>
  <c r="AE240" i="1" s="1"/>
  <c r="AD238" i="1"/>
  <c r="AE238" i="1" s="1"/>
  <c r="AD237" i="1"/>
  <c r="AE237" i="1" s="1"/>
  <c r="AD233" i="1"/>
  <c r="AE233" i="1" s="1"/>
  <c r="AD232" i="1"/>
  <c r="AE232" i="1" s="1"/>
  <c r="AD231" i="1"/>
  <c r="AE231" i="1" s="1"/>
  <c r="AD230" i="1"/>
  <c r="AE230" i="1" s="1"/>
  <c r="AD229" i="1"/>
  <c r="AE229" i="1" s="1"/>
  <c r="AD228" i="1"/>
  <c r="AE228" i="1" s="1"/>
  <c r="AD224" i="1"/>
  <c r="AE224" i="1" s="1"/>
  <c r="AD223" i="1"/>
  <c r="AE223" i="1" s="1"/>
  <c r="AD220" i="1"/>
  <c r="AE220" i="1" s="1"/>
  <c r="AD215" i="1"/>
  <c r="AE215" i="1" s="1"/>
  <c r="AD213" i="1"/>
  <c r="AE213" i="1" s="1"/>
  <c r="AD211" i="1"/>
  <c r="AE211" i="1" s="1"/>
  <c r="AD210" i="1"/>
  <c r="AE210" i="1" s="1"/>
  <c r="AD209" i="1"/>
  <c r="AE209" i="1" s="1"/>
  <c r="AD208" i="1"/>
  <c r="AE208" i="1" s="1"/>
  <c r="AD206" i="1"/>
  <c r="AE206" i="1" s="1"/>
  <c r="AD204" i="1"/>
  <c r="AE204" i="1" s="1"/>
  <c r="AD199" i="1"/>
  <c r="AE199" i="1" s="1"/>
  <c r="AD190" i="1"/>
  <c r="AE190" i="1" s="1"/>
  <c r="AD185" i="1"/>
  <c r="AE185" i="1" s="1"/>
  <c r="AD184" i="1"/>
  <c r="AE184" i="1" s="1"/>
  <c r="AD181" i="1"/>
  <c r="AE181" i="1" s="1"/>
  <c r="AD179" i="1"/>
  <c r="AE179" i="1" s="1"/>
  <c r="AD177" i="1"/>
  <c r="AE177" i="1" s="1"/>
  <c r="AD176" i="1"/>
  <c r="AE176" i="1" s="1"/>
  <c r="AD175" i="1"/>
  <c r="AE175" i="1" s="1"/>
  <c r="AD167" i="1"/>
  <c r="AE167" i="1" s="1"/>
  <c r="AD133" i="1"/>
  <c r="AE133" i="1" s="1"/>
  <c r="AD118" i="1"/>
  <c r="AE118" i="1" s="1"/>
  <c r="AD115" i="1"/>
  <c r="AE115" i="1" s="1"/>
  <c r="AD114" i="1"/>
  <c r="AE114" i="1" s="1"/>
  <c r="AD105" i="1"/>
  <c r="AE105" i="1" s="1"/>
  <c r="AD104" i="1"/>
  <c r="AE104" i="1" s="1"/>
  <c r="AD102" i="1"/>
  <c r="AE102" i="1" s="1"/>
  <c r="AD99" i="1"/>
  <c r="AE99" i="1" s="1"/>
  <c r="AD97" i="1"/>
  <c r="AE97" i="1" s="1"/>
  <c r="AD96" i="1"/>
  <c r="AE96" i="1" s="1"/>
  <c r="AD80" i="1"/>
  <c r="AE80" i="1" s="1"/>
  <c r="AD79" i="1"/>
  <c r="AE79" i="1" s="1"/>
  <c r="AD73" i="1"/>
  <c r="AE73" i="1" s="1"/>
  <c r="AD71" i="1"/>
  <c r="AE71" i="1" s="1"/>
  <c r="AD70" i="1"/>
  <c r="AE70" i="1" s="1"/>
  <c r="AD69" i="1"/>
  <c r="AE69" i="1" s="1"/>
  <c r="AD67" i="1"/>
  <c r="AE67" i="1" s="1"/>
  <c r="AD66" i="1"/>
  <c r="AE66" i="1" s="1"/>
  <c r="AE256" i="1" l="1"/>
  <c r="AD256" i="1"/>
  <c r="AD162" i="1"/>
  <c r="AE162" i="1"/>
  <c r="AD170" i="1"/>
  <c r="AD171" i="1" s="1"/>
  <c r="AE170" i="1"/>
  <c r="AE171" i="1" s="1"/>
  <c r="AD201" i="1"/>
  <c r="AE123" i="1"/>
  <c r="AD123" i="1"/>
  <c r="AE112" i="1"/>
  <c r="AD112" i="1"/>
  <c r="AE91" i="1"/>
  <c r="AD91" i="1"/>
  <c r="AE76" i="1"/>
  <c r="AD76" i="1"/>
  <c r="AE201" i="1"/>
  <c r="AD257" i="1" l="1"/>
  <c r="AE257" i="1"/>
  <c r="AD92" i="1"/>
  <c r="AD163" i="1"/>
  <c r="AE92" i="1"/>
  <c r="AE163" i="1"/>
  <c r="AE284" i="1"/>
  <c r="AD284" i="1"/>
  <c r="AD287" i="1" s="1"/>
  <c r="D12" i="4" l="1"/>
  <c r="D18" i="4" l="1"/>
  <c r="D16" i="4"/>
  <c r="E12" i="4"/>
  <c r="E18" i="4" l="1"/>
  <c r="E16" i="4"/>
  <c r="C7" i="3" l="1"/>
  <c r="C25" i="3" l="1"/>
  <c r="U170" i="1"/>
  <c r="P170" i="1"/>
  <c r="U162" i="1"/>
  <c r="D162" i="1"/>
  <c r="U130" i="1"/>
  <c r="D130" i="1"/>
  <c r="U112" i="1"/>
  <c r="C9" i="4" l="1"/>
  <c r="P91" i="1"/>
  <c r="P281" i="1"/>
  <c r="P130" i="1"/>
  <c r="P201" i="1"/>
  <c r="P269" i="1"/>
  <c r="G9" i="4" l="1"/>
  <c r="C9" i="9"/>
  <c r="G9" i="9" s="1"/>
  <c r="C10" i="4"/>
  <c r="P284" i="1"/>
  <c r="C11" i="4"/>
  <c r="C7" i="4"/>
  <c r="C7" i="9" s="1"/>
  <c r="G7" i="9" s="1"/>
  <c r="R287" i="1"/>
  <c r="G10" i="4" l="1"/>
  <c r="C10" i="9"/>
  <c r="G10" i="9" s="1"/>
  <c r="G11" i="4"/>
  <c r="C11" i="9"/>
  <c r="G11" i="9" s="1"/>
  <c r="G7" i="4"/>
  <c r="C12" i="4"/>
  <c r="Q287" i="1"/>
  <c r="P287" i="1"/>
  <c r="G12" i="9" l="1"/>
  <c r="G12" i="4"/>
  <c r="C12" i="9"/>
  <c r="C18" i="9" s="1"/>
  <c r="C16" i="4"/>
  <c r="C18" i="4"/>
  <c r="AE287" i="1"/>
  <c r="G16" i="9" l="1"/>
  <c r="G18" i="9"/>
  <c r="C16" i="9"/>
  <c r="G16" i="4"/>
  <c r="V287" i="1"/>
  <c r="R216" i="7" l="1"/>
  <c r="R253" i="7" s="1"/>
  <c r="G84" i="2"/>
  <c r="Q108" i="7" l="1"/>
  <c r="R99" i="7"/>
  <c r="R108" i="7" s="1"/>
  <c r="R286" i="7" s="1"/>
</calcChain>
</file>

<file path=xl/comments1.xml><?xml version="1.0" encoding="utf-8"?>
<comments xmlns="http://schemas.openxmlformats.org/spreadsheetml/2006/main">
  <authors>
    <author>Revai Makanje-Aalbaek</author>
  </authors>
  <commentList>
    <comment ref="D157" authorId="0">
      <text>
        <r>
          <rPr>
            <b/>
            <sz val="9"/>
            <color indexed="81"/>
            <rFont val="Tahoma"/>
            <family val="2"/>
          </rPr>
          <t>Revai Makanje-Aalbaek:</t>
        </r>
        <r>
          <rPr>
            <sz val="9"/>
            <color indexed="81"/>
            <rFont val="Tahoma"/>
            <family val="2"/>
          </rPr>
          <t xml:space="preserve">
Given 16 other languages is two adequate or we may need to drop this</t>
        </r>
      </text>
    </comment>
  </commentList>
</comments>
</file>

<file path=xl/comments2.xml><?xml version="1.0" encoding="utf-8"?>
<comments xmlns="http://schemas.openxmlformats.org/spreadsheetml/2006/main">
  <authors>
    <author>Revai Makanje-Aalbaek</author>
  </authors>
  <commentList>
    <comment ref="D111" authorId="0">
      <text>
        <r>
          <rPr>
            <b/>
            <sz val="9"/>
            <color indexed="81"/>
            <rFont val="Tahoma"/>
            <family val="2"/>
          </rPr>
          <t>Revai Makanje-Aalbaek:</t>
        </r>
        <r>
          <rPr>
            <sz val="9"/>
            <color indexed="81"/>
            <rFont val="Tahoma"/>
            <family val="2"/>
          </rPr>
          <t xml:space="preserve">
Given 16 other languages is two adequate or we may need to drop this</t>
        </r>
      </text>
    </comment>
  </commentList>
</comments>
</file>

<file path=xl/comments3.xml><?xml version="1.0" encoding="utf-8"?>
<comments xmlns="http://schemas.openxmlformats.org/spreadsheetml/2006/main">
  <authors>
    <author>Revai Makanje-Aalbaek</author>
    <author>Preferred</author>
  </authors>
  <commentList>
    <comment ref="D100" authorId="0">
      <text>
        <r>
          <rPr>
            <b/>
            <sz val="9"/>
            <color indexed="81"/>
            <rFont val="Tahoma"/>
            <family val="2"/>
          </rPr>
          <t>Revai Makanje-Aalbaek:</t>
        </r>
        <r>
          <rPr>
            <sz val="9"/>
            <color indexed="81"/>
            <rFont val="Tahoma"/>
            <family val="2"/>
          </rPr>
          <t xml:space="preserve">
Given 16 other languages is two adequate or we may need to drop this</t>
        </r>
      </text>
    </comment>
    <comment ref="C137" authorId="1">
      <text>
        <r>
          <rPr>
            <b/>
            <sz val="9"/>
            <color indexed="81"/>
            <rFont val="Tahoma"/>
            <family val="2"/>
          </rPr>
          <t>Preferred:</t>
        </r>
        <r>
          <rPr>
            <sz val="9"/>
            <color indexed="81"/>
            <rFont val="Tahoma"/>
            <family val="2"/>
          </rPr>
          <t xml:space="preserve">
See end of Report Totals for the UNDP Standard GMS</t>
        </r>
      </text>
    </comment>
  </commentList>
</comments>
</file>

<file path=xl/comments4.xml><?xml version="1.0" encoding="utf-8"?>
<comments xmlns="http://schemas.openxmlformats.org/spreadsheetml/2006/main">
  <authors>
    <author>Revai Makanje-Aalbaek</author>
  </authors>
  <commentList>
    <comment ref="D159" authorId="0">
      <text>
        <r>
          <rPr>
            <b/>
            <sz val="9"/>
            <color indexed="81"/>
            <rFont val="Tahoma"/>
            <family val="2"/>
          </rPr>
          <t>Revai Makanje-Aalbaek:</t>
        </r>
        <r>
          <rPr>
            <sz val="9"/>
            <color indexed="81"/>
            <rFont val="Tahoma"/>
            <family val="2"/>
          </rPr>
          <t xml:space="preserve">
Given 16 other languages is two adequate or we may need to drop this</t>
        </r>
      </text>
    </comment>
  </commentList>
</comments>
</file>

<file path=xl/comments5.xml><?xml version="1.0" encoding="utf-8"?>
<comments xmlns="http://schemas.openxmlformats.org/spreadsheetml/2006/main">
  <authors>
    <author>Revai Makanje-Aalbaek</author>
  </authors>
  <commentList>
    <comment ref="B82" authorId="0">
      <text>
        <r>
          <rPr>
            <b/>
            <sz val="9"/>
            <color indexed="81"/>
            <rFont val="Tahoma"/>
            <family val="2"/>
          </rPr>
          <t>Revai Makanje-Aalbaek:</t>
        </r>
        <r>
          <rPr>
            <sz val="9"/>
            <color indexed="81"/>
            <rFont val="Tahoma"/>
            <family val="2"/>
          </rPr>
          <t xml:space="preserve">
Given 16 other languages is two adequate or we may need to drop this</t>
        </r>
      </text>
    </comment>
  </commentList>
</comments>
</file>

<file path=xl/sharedStrings.xml><?xml version="1.0" encoding="utf-8"?>
<sst xmlns="http://schemas.openxmlformats.org/spreadsheetml/2006/main" count="4506" uniqueCount="1157">
  <si>
    <t>:</t>
  </si>
  <si>
    <t>Project ID &amp; Title</t>
  </si>
  <si>
    <t>ZUNDAF Outcomes:</t>
  </si>
  <si>
    <t>Improved justice delivery system and rule of law.</t>
  </si>
  <si>
    <t xml:space="preserve">Strengthened mechanism for peace building and for prevention, management and resolution of conflict </t>
  </si>
  <si>
    <t>Enhanced accountability in the management of public resources and service delivery</t>
  </si>
  <si>
    <t>Enhanced people's peoples participation in democratic governance structures and processes</t>
  </si>
  <si>
    <t>Expected CP Outcomes:</t>
  </si>
  <si>
    <t>Expected Output</t>
  </si>
  <si>
    <t>People's participation in policy formulation, decision-making and democratic processes increased</t>
  </si>
  <si>
    <t>National capacities for prevention, management and resolution of conflict strengthened</t>
  </si>
  <si>
    <t>Oversight instittutions strengthened</t>
  </si>
  <si>
    <t>Public service delivery capacity improved</t>
  </si>
  <si>
    <t>Implementing Partner</t>
  </si>
  <si>
    <t>Parliament of Zimbabwe</t>
  </si>
  <si>
    <t>Responsible Parties</t>
  </si>
  <si>
    <t>Office of the Auditor General</t>
  </si>
  <si>
    <t>Brief Description:</t>
  </si>
  <si>
    <t xml:space="preserve">A strong Parliament - whose Independence has been strengthened in the Constitution - is the fundamental national institution for democratisation. In addition to the traditional legislative, Executive oversight and presentation mandates, the constitution has imposed an additional role of ensuring gender equity. Drawing from the previous programme,the current programme builds on lessons learned that capacity building sholuld be approached as a planned, collaborrative, transformative, participatory, long-term and continuous process for developing the Parliament's human skills, and the enhancement of its resources at various level - with strategic linkages with development and other non-traditional funding partners. The programme strategy is geared torwards output with measurable indicators - and shows a clear link between the financial and human resource inputs required to deliver them. The programme seeks to develop a Parliament that is enabled to perform its core functions for improved legislative, representative and oversight processes that promote public particpation, accountability and gender equality. </t>
  </si>
  <si>
    <t>Total Resources required:</t>
  </si>
  <si>
    <t>Key result Area ( Startegic Plan)</t>
  </si>
  <si>
    <t>Total allocated resources:</t>
  </si>
  <si>
    <t>Atlas Award ID:</t>
  </si>
  <si>
    <t>Regular UNDP:</t>
  </si>
  <si>
    <t>Start Date:</t>
  </si>
  <si>
    <t>Other:</t>
  </si>
  <si>
    <t>End Date:</t>
  </si>
  <si>
    <t>#</t>
  </si>
  <si>
    <t>EU</t>
  </si>
  <si>
    <t>PAC Meeting Date:</t>
  </si>
  <si>
    <t>SIDA</t>
  </si>
  <si>
    <t>Management Arrangements</t>
  </si>
  <si>
    <t>GOVERNMENT</t>
  </si>
  <si>
    <t>.</t>
  </si>
  <si>
    <t>Unfunded budget:</t>
  </si>
  <si>
    <t>In-kind contributions</t>
  </si>
  <si>
    <t xml:space="preserve">Agreement by ( Executing Entity):   </t>
  </si>
  <si>
    <t>PARLIAMENT OF ZIMBABWE</t>
  </si>
  <si>
    <t>Agreed by (UNDP) :</t>
  </si>
  <si>
    <t>UNITED NATIONS DEVELOPMENT PROGRAMME (UNDP)</t>
  </si>
  <si>
    <t>OUTCOMES/OUTPUT INDICATOR</t>
  </si>
  <si>
    <t>ACTIVITY No.</t>
  </si>
  <si>
    <t>PLANNED ACTIVITY/EXP</t>
  </si>
  <si>
    <t>TIME FRAME/ANNUAL BUDGETS</t>
  </si>
  <si>
    <t>RESPONSIBLE PARTY</t>
  </si>
  <si>
    <t>TOTAL</t>
  </si>
  <si>
    <t>Year 1</t>
  </si>
  <si>
    <t>Year 2</t>
  </si>
  <si>
    <t>Year 3</t>
  </si>
  <si>
    <t>Year 4</t>
  </si>
  <si>
    <t>BUDGET DESCRIPTION</t>
  </si>
  <si>
    <t xml:space="preserve">Outcome 1: New laws enacted and old laws aligned to the Constitution. </t>
  </si>
  <si>
    <t>1.1.</t>
  </si>
  <si>
    <t xml:space="preserve">Output 1.1: All  priority non- compliant  pieces of legislation aligned to the Constitution </t>
  </si>
  <si>
    <t>1.1.1</t>
  </si>
  <si>
    <t>UNDP/POZ/MOJLPA</t>
  </si>
  <si>
    <t>(2 meetings X 40 Participants @ $40 per person plus POZ bus fuel $70 per meeting)</t>
  </si>
  <si>
    <t>1.1.2</t>
  </si>
  <si>
    <t>UNDP/POZ</t>
  </si>
  <si>
    <t>(Workshop of 75 participants x $40 x 3 days plus 2 hired bus @  $1 962.50 per bus)</t>
  </si>
  <si>
    <t>1.1.3</t>
  </si>
  <si>
    <t>UNDP/POZ/CONSULTANTS</t>
  </si>
  <si>
    <t>1.1.4</t>
  </si>
  <si>
    <t>UNDP/POZ/CSOs/PUBLIC</t>
  </si>
  <si>
    <t>(6 public hearings x 25 MPs and staff per Committee x 5 days x $185 per MP  plus hired transport $2 500 per Committee(6 trips)</t>
  </si>
  <si>
    <t>1.1.5</t>
  </si>
  <si>
    <t>Train  40 Committee Clerks and Researchers in legislative and policy analysis</t>
  </si>
  <si>
    <t xml:space="preserve"> (One X 2 days Workshop x 40 participants x $185 plus training fees $2400 plus POZ bus $420)</t>
  </si>
  <si>
    <t>1.1.6</t>
  </si>
  <si>
    <t xml:space="preserve">Hold a three days training workshop for the PLC in Legal drafting, Constitutional Interpretation and legislative analysis </t>
  </si>
  <si>
    <t>( One X 3 days Workshop for 15 PLC members @ $185 plus 4 consultants @ $400 per day plus  POZ bus $350)</t>
  </si>
  <si>
    <t>1.2.</t>
  </si>
  <si>
    <t>Output 1.2:  Capacity of legislators in legislative and policy analysis developed</t>
  </si>
  <si>
    <t>1.2.1</t>
  </si>
  <si>
    <t xml:space="preserve">  (8 consultants  @ $400 @ day for 8 days  plus advertsement costs $4000):                                                               </t>
  </si>
  <si>
    <t>1.2.2</t>
  </si>
  <si>
    <t>1.2.10</t>
  </si>
  <si>
    <t xml:space="preserve"> (8  consultants x 8 training modules @ $400 @ day for 8 days plus advertisement costs $4 000):                                                               </t>
  </si>
  <si>
    <t>1.2.11</t>
  </si>
  <si>
    <t>UNDP/POZ/PUBLISHERS</t>
  </si>
  <si>
    <t>1.2.19</t>
  </si>
  <si>
    <t>Print Parliament publications:</t>
  </si>
  <si>
    <t>Outcome 2: Oversight function of Parliament strengthened; Public service delivery capacity improved.</t>
  </si>
  <si>
    <t>Output 2.1: Statutory Reports on  the management of public resources submitted by  Ministries, State Enterprises and Institutions  reviewed and tabled in Parliment</t>
  </si>
  <si>
    <t xml:space="preserve"> (One X 3 days workshops of 30 PAC Committee members including staff  X $185 a day plus POZ transport $ 420.00 to  review quarterly reports from 20 Ministries, Parastatals and Local authorities) </t>
  </si>
  <si>
    <t>2.1.1</t>
  </si>
  <si>
    <t>UNDP/POZ/AG/CONSULTANTS</t>
  </si>
  <si>
    <t>2.1.2.</t>
  </si>
  <si>
    <t>(2 public hearings by 25 MPs x 5 days each @ $185 a day plus hired transport of 2 buses @ $2500 per bus)</t>
  </si>
  <si>
    <t>2.1.3.</t>
  </si>
  <si>
    <t>(7 reports of 400 copies per each report x $7 per copy)</t>
  </si>
  <si>
    <t>2.1.4</t>
  </si>
  <si>
    <t>(3 Experts for One day Seminar x $400 per expert X 2 days each including preparation)</t>
  </si>
  <si>
    <t>2.1.5</t>
  </si>
  <si>
    <t>2.1.7</t>
  </si>
  <si>
    <t>2.1.8</t>
  </si>
  <si>
    <t xml:space="preserve"> (3 Experts for One day Seminar x $400 x 2 days each including preparation for 3 years)</t>
  </si>
  <si>
    <t>Output 2.2: Institutional knowledge base and analytical capacity on legislative, oversight and representative fuctions built.</t>
  </si>
  <si>
    <t>2.2.1</t>
  </si>
  <si>
    <t xml:space="preserve">Hold bi-annual dialogue sessions between Committees and respective ministries  to discuss among other issues, quarterly reports received by Parliament. </t>
  </si>
  <si>
    <t>(2 workshops per year X 35 people x $40 X 3 years plus POZ transport of $168)</t>
  </si>
  <si>
    <t>2.2.2</t>
  </si>
  <si>
    <t>2.2.3</t>
  </si>
  <si>
    <t>Output 2.3: Parliamentary Code of Conduct and Ethics for legislators and staff adopted and implemented.</t>
  </si>
  <si>
    <t>2.3.1</t>
  </si>
  <si>
    <t xml:space="preserve">Engage  consultancy services to draft a Parliament  of Zimbabwe code of conduct for MPs and Presiding Officers </t>
  </si>
  <si>
    <t>(Consultant hired for 10 days @ US$400 a day)</t>
  </si>
  <si>
    <t>2.3.2</t>
  </si>
  <si>
    <t>Hold a consultative meeting  between the SORC Committee  and the consultancy on the Code of Conduct .</t>
  </si>
  <si>
    <t>( One day consultative workshop of 30 MPs and staff x $ 40 conference package per person)</t>
  </si>
  <si>
    <t xml:space="preserve">(One day  workshop of 350 MPs and staff x $ 40 conference package per person)  </t>
  </si>
  <si>
    <t>Output 2.4: Oversight systems and processes of the Auditor General's Office improved</t>
  </si>
  <si>
    <t>+</t>
  </si>
  <si>
    <t>(Review of the Auditor General's strategic plan (45 Managers x $220 x 5 days plus transport $133.33 per person)</t>
  </si>
  <si>
    <t>2.4.1</t>
  </si>
  <si>
    <t>UNDP/AG/POZ</t>
  </si>
  <si>
    <t>2.4.2</t>
  </si>
  <si>
    <t>(45 Auditors for 5 days for 3 years X $35  a day)</t>
  </si>
  <si>
    <t>2.4.3</t>
  </si>
  <si>
    <t>Engage a consultancy services to review and develop Human Resources policy</t>
  </si>
  <si>
    <t>(One consultant x $400 x 25 days)</t>
  </si>
  <si>
    <t>2.4.4</t>
  </si>
  <si>
    <t>(50 laptops @ $1 000 each)</t>
  </si>
  <si>
    <t>2.4.5</t>
  </si>
  <si>
    <t xml:space="preserve">(Two project vehicles @ US$45 000 each) </t>
  </si>
  <si>
    <t>2.4.6</t>
  </si>
  <si>
    <t>Installation of  foyer barriers</t>
  </si>
  <si>
    <t>(Foyer barriers @ $10 000)</t>
  </si>
  <si>
    <t>2.4.7</t>
  </si>
  <si>
    <t xml:space="preserve">Procurement of furniture for the training center </t>
  </si>
  <si>
    <t>(Procure 75 chairs @ $100 per chair , one PA System @ $8100 per set, 40 tables @ $110, 4 Airconditioners @ $1500 per set, 4 TY, blinds &amp; DVD @ $6013 per set)</t>
  </si>
  <si>
    <t>2.4.8</t>
  </si>
  <si>
    <t>2.4.9</t>
  </si>
  <si>
    <t xml:space="preserve">Engage Consultancy firm to develop Audit programme and hold a two days consultations meeting with Auditor General's management  </t>
  </si>
  <si>
    <t xml:space="preserve">(Two day workshop of 15 participants @ DSA $40 a day per participant plus consultancy fees of $400 x 35 days) </t>
  </si>
  <si>
    <t>2.4.10</t>
  </si>
  <si>
    <t xml:space="preserve">Conduct annual audits and develop audit file with the assistant of a Consultant. </t>
  </si>
  <si>
    <t xml:space="preserve">(10 Auditors @ $40  per day DSA for 30 days plus One consultant x $400 X 10 days plus transport $134 fuel per day)  </t>
  </si>
  <si>
    <t>2.4.11</t>
  </si>
  <si>
    <t>Engage Consultant to develop PAC  guidelines and hold a consultation meetings with stakeholders.</t>
  </si>
  <si>
    <t>(Two day workshop of 40 participants @ DSA $40 a day per participant plus consultancy fees of $400 x 35 days)</t>
  </si>
  <si>
    <t>2.4.12</t>
  </si>
  <si>
    <t xml:space="preserve">( One consultant x $400 x 32 days plus transport of $200.00) </t>
  </si>
  <si>
    <t>2.4.13</t>
  </si>
  <si>
    <t xml:space="preserve">Conduct  two seminars for audited entities on their audit roles and responsibilities  </t>
  </si>
  <si>
    <t>(2 day seminar X 26 Officers each @ DSA of US$185.00 per person plus AG transport  @ US$190 per workshop)</t>
  </si>
  <si>
    <t>2.4.14</t>
  </si>
  <si>
    <t>2.4.15</t>
  </si>
  <si>
    <t>Monitoring Audit quarterly reports</t>
  </si>
  <si>
    <t>(DSA for 10  Auditors X $185 per day X 5 days monitoring Audit Stations  X 2 years)</t>
  </si>
  <si>
    <t>2.4.16</t>
  </si>
  <si>
    <t>(Cost of training 220 auditors @ (US$ 90) per auditor X 3 days plus transport $9 555)</t>
  </si>
  <si>
    <t>2.4.17</t>
  </si>
  <si>
    <t>Carry out monitoring missions to all work stations</t>
  </si>
  <si>
    <t>(10 Audit Managers X 22 visits of 3 days each  @$40 DSA per person)</t>
  </si>
  <si>
    <t xml:space="preserve"> </t>
  </si>
  <si>
    <t>Outcome 3: People’s participation in legislation formulation, decision-making and related democratic processes increased.</t>
  </si>
  <si>
    <t xml:space="preserve">Output 3.1: Participation of ordinary citizens in the legislative processes of Parliament increased </t>
  </si>
  <si>
    <t>3.1.1</t>
  </si>
  <si>
    <t>UNDP/POZ/CSOs</t>
  </si>
  <si>
    <t>Outcome 4: Parliament’s performance of its core functions strengthened through capacitating Parliament leadership and staff.</t>
  </si>
  <si>
    <r>
      <t>Output 4.1:</t>
    </r>
    <r>
      <rPr>
        <b/>
        <sz val="16"/>
        <rFont val="Arial"/>
        <family val="2"/>
      </rPr>
      <t xml:space="preserve"> Management of all programmes supported by Development Partners, Donors, Civil Society Organisations, and other non-State Actors coordinated  </t>
    </r>
  </si>
  <si>
    <t>(Two, one day meetings per year with 30 Dev. Partners and stakeholders @ $40 per participant in Hre for three years)</t>
  </si>
  <si>
    <t xml:space="preserve"> (2 x 4x4 double cab vehicles @ $45 000 each and 1 x 4x4  double cab @ $30 000).</t>
  </si>
  <si>
    <t>4.1.5</t>
  </si>
  <si>
    <t xml:space="preserve">Project Coordinator and Programme Accountant undergo training in project management (planning, design, programme financial management, monitoring and evaluation, reporting and closure  </t>
  </si>
  <si>
    <t>2 Officers x $700 per semester (3  Semesters) x project mamangement course)</t>
  </si>
  <si>
    <t>4.1.6</t>
  </si>
  <si>
    <t xml:space="preserve">Develop monitoring and review tools for the Institutional Strategic Plan and the PSP.  </t>
  </si>
  <si>
    <t>UNDP/POZ/CONSULTANT</t>
  </si>
  <si>
    <t xml:space="preserve"> (One consultant x10 days @ $400)  </t>
  </si>
  <si>
    <t>4.1.7</t>
  </si>
  <si>
    <t>Convene a LCC Committee meeting with other stakeholders to carry out PSP monitoring and review exercise .</t>
  </si>
  <si>
    <t>UNDP/POZ/DEV PART</t>
  </si>
  <si>
    <t>4.1.8</t>
  </si>
  <si>
    <t xml:space="preserve"> Annual licence fees , upgrade and training  for Pastel accounting package for the PCU</t>
  </si>
  <si>
    <t>(Annual licence renewal $750 + annual upgrade $1000 + Cost of consultancy services and training $2 250)</t>
  </si>
  <si>
    <t>4.1.9</t>
  </si>
  <si>
    <t>Purchase office and communication accessorie and repairs to PCU equipment.</t>
  </si>
  <si>
    <t>(Toners for printers and copier machines and others accessories $3 000 including  repairs $2 000 for three years)</t>
  </si>
  <si>
    <t>4.1.10</t>
  </si>
  <si>
    <t xml:space="preserve">Launching of the POZ Strategic Plan 2014 - 2018 and the Multi-donor Parliament Support Programme 2014 - 2017 documents </t>
  </si>
  <si>
    <t>(300 invited guests, staff and Development partners x $35.00 per guest , printing costs @ $7 000 and banners @ $ 6900)</t>
  </si>
  <si>
    <t>(70 invited guests, staff and Development partners x $40.00 per guest for 3 years)</t>
  </si>
  <si>
    <t>4.2.</t>
  </si>
  <si>
    <t>Output 4.2: Technical capacity for the  for the professional functioning of Parliament  enhanced.</t>
  </si>
  <si>
    <t>4.2.1.</t>
  </si>
  <si>
    <t xml:space="preserve">Hold three days Annual Corporate planning training workshop for Senior POZ Officers </t>
  </si>
  <si>
    <t xml:space="preserve"> (40 Officers X US$185 X 3 days)+(2 Consultancy X $400 X 3 days ) plus POZ bus fuel of $420)</t>
  </si>
  <si>
    <t>4.2.2.</t>
  </si>
  <si>
    <t>Undertake a comprehensive skills audit of staff of Parliament, and identify skills gaps and capacity building requirements.</t>
  </si>
  <si>
    <t>(Consultant hired for 15 days @ $400 a day)</t>
  </si>
  <si>
    <t>Develop Human Resources gender-sensitive in-house and external training programmes and modules to address identified training needs</t>
  </si>
  <si>
    <t>(800 modules produced @ $8 per module)</t>
  </si>
  <si>
    <t>4.2.4.</t>
  </si>
  <si>
    <t>(2 exchange visits X 5 Officers each, undertaken to other Parliaments x $250 per day per person plus airfares $800 per each person )</t>
  </si>
  <si>
    <t>(Hansard $ 5 000 and Biometric software for MPs attendance $5 000 and Library management $17 000)</t>
  </si>
  <si>
    <t>4.2.6.</t>
  </si>
  <si>
    <t>(26 laptops @ $800 each)</t>
  </si>
  <si>
    <t>(6 Printers @ $2 500 each)</t>
  </si>
  <si>
    <t>4.2.8.</t>
  </si>
  <si>
    <t>15 Presiding Officers and Chairpersons' panel and staff undertake  Learning exchange visits to regional parliaments</t>
  </si>
  <si>
    <t>( 15 Presiding Officers &amp; Chairperson's panel including staff  x $250 x 5 days plus airfares to Regional Parliaments $1 000 per person)</t>
  </si>
  <si>
    <t xml:space="preserve">Hold a Senior managers retreat for POZ Senior managers </t>
  </si>
  <si>
    <t xml:space="preserve"> (12 Officers x $185 x 3 days x 3 years plus transport $1 775)</t>
  </si>
  <si>
    <t>4.2.11.</t>
  </si>
  <si>
    <t>UNDP/POZ/CONULTANTS</t>
  </si>
  <si>
    <t>4.2.12.</t>
  </si>
  <si>
    <t xml:space="preserve">Engage Consultancy services to implement the  Human Resources Development strategy. </t>
  </si>
  <si>
    <t xml:space="preserve">(One consultant hired @$400 for 10 days) </t>
  </si>
  <si>
    <t xml:space="preserve">Engage Consultancy services to develop an institutional human capital impact assessment tool. </t>
  </si>
  <si>
    <t xml:space="preserve">(One consultant hire @$400 for 8 days) </t>
  </si>
  <si>
    <t>Engage consultant to evaluate the Human Resources Development strategy.</t>
  </si>
  <si>
    <t xml:space="preserve">(One consultant x $400 per day for 5 days) </t>
  </si>
  <si>
    <t>4.2.15.</t>
  </si>
  <si>
    <t xml:space="preserve">Hold a three days ZIM/ZAM Senior Managers Development programme workshop for 45 POZ Officers </t>
  </si>
  <si>
    <t xml:space="preserve"> (45 Officers x $185 x 3 days x 3 years  plus transport $420)</t>
  </si>
  <si>
    <t>4.2.16</t>
  </si>
  <si>
    <t>Upgrade website and regularly update website content.</t>
  </si>
  <si>
    <t>(1 x Consult x$400 x 50 days)</t>
  </si>
  <si>
    <t>4.3.1</t>
  </si>
  <si>
    <t>Train 40 Committee Clerks, researchers and other relevant officers   in report-writing</t>
  </si>
  <si>
    <t xml:space="preserve"> ( 2 x Three days workshop of 40 Officers each x $185 a day plus POZ bus outside Hre $795 plus 2 consultancy  @ 400 a day for 3days)</t>
  </si>
  <si>
    <t>4.3.2</t>
  </si>
  <si>
    <t xml:space="preserve">(2 X 3 day workshop of 100 Officers x $185 per day plus hired transport outside Harare of 2 buses X $2500 per bus plus 3 consultancy $400 X 3days X 2 workshops ) </t>
  </si>
  <si>
    <t>4.3.3</t>
  </si>
  <si>
    <t>Update PCIC informatics database in 10 provinces.</t>
  </si>
  <si>
    <t>4.3.4</t>
  </si>
  <si>
    <t>Engage consultant to conduct a customer satisfaction surveys for staff and external stakeholders and recommend a strategy to address customer's concern</t>
  </si>
  <si>
    <t>(Consultant @ $400 a day for 10 days)</t>
  </si>
  <si>
    <t>4.3.5</t>
  </si>
  <si>
    <t xml:space="preserve">Parliament visibility: POZ hold exhibitions at the International Trade Fair (ZITF) in Bulawayo and the Harare Agricultural Show (HAS) in Harare and ISO Certification promotion    </t>
  </si>
  <si>
    <t xml:space="preserve">  (2 Shows x 20 Officers x US$185 x 4 Stand desgn &amp; dev $12 000 plus  POZ bus transport $420 over2 years &amp; ISO promotional materials $18 980)</t>
  </si>
  <si>
    <t>4.3.6</t>
  </si>
  <si>
    <t xml:space="preserve"> (8 Outreaches x 5 Officers x US$185 x 5 days each province plus POZ vehicle $560X 10 )  </t>
  </si>
  <si>
    <t>4.3.7</t>
  </si>
  <si>
    <t>45 Officers to undertake Records planning and management training course - manual and electronic</t>
  </si>
  <si>
    <t>(45 Officers X $185 X 4 days plus 2 x Consult $400 x 4 days plus transport $ 420)</t>
  </si>
  <si>
    <t>4.3.8.</t>
  </si>
  <si>
    <t xml:space="preserve">Two Finance Officers to undergo SAP certification training under the PFMs programme </t>
  </si>
  <si>
    <t>(2 Officers X $10 000 fees each including DSA  for three weeks - SA</t>
  </si>
  <si>
    <t xml:space="preserve">Two Public Relations Officers to undergo training course on digital publishing, filming and photographic  </t>
  </si>
  <si>
    <t xml:space="preserve"> (Four Officers @ $ 350 each local) </t>
  </si>
  <si>
    <t>4.3.10.</t>
  </si>
  <si>
    <t xml:space="preserve">(4 Officers @ $2500 tuition each trained for I week) </t>
  </si>
  <si>
    <t xml:space="preserve">One Auditor to undergo five days  training on PFMS computerised auditing </t>
  </si>
  <si>
    <t xml:space="preserve"> (One Officer@ US$2 500 per course of 5 days.) </t>
  </si>
  <si>
    <t>4.3.12.</t>
  </si>
  <si>
    <t xml:space="preserve">Two transport managers to attend training on Transport Management and Control  </t>
  </si>
  <si>
    <t xml:space="preserve">  (2 Officers @ $85 each fees X 5 days ) </t>
  </si>
  <si>
    <t>4.3.13.</t>
  </si>
  <si>
    <t xml:space="preserve"> (18 drivers and Officers x $10 per person fees X5 days) </t>
  </si>
  <si>
    <t>4.3.14.</t>
  </si>
  <si>
    <t>(Three Officers @ $2350 training fees)</t>
  </si>
  <si>
    <t>4.3.15</t>
  </si>
  <si>
    <t>Disseminate Constituency informatics data base in all 10 provinces</t>
  </si>
  <si>
    <t>(10 provinces visited @ 2 days per province by 5 Officers @ $185  plus Venue hire $5 000 plus  2 x POZ project vehicles outside Hre $420 x 10.)</t>
  </si>
  <si>
    <t>4.3.16.</t>
  </si>
  <si>
    <t>4.3.17.</t>
  </si>
  <si>
    <t xml:space="preserve">Hold a three days training in Enterprise Risk Management for HODs and management </t>
  </si>
  <si>
    <t xml:space="preserve"> (30 Officers x $450 each at SAZ) plus transport $420</t>
  </si>
  <si>
    <t>4.3.18.</t>
  </si>
  <si>
    <t>Conduct a four days  training workshop on on Quality Management Systems Audit refresher course for 6 QMS auditors)</t>
  </si>
  <si>
    <t>(6 Officers x $730 per trainee fees )</t>
  </si>
  <si>
    <t>4.3.19.</t>
  </si>
  <si>
    <t xml:space="preserve">Conduct a three days Root Cause  Analysis training refresher course for  15 Root Cause Analysis Committee Members </t>
  </si>
  <si>
    <t xml:space="preserve"> (15 Officers @ $160 training fees)</t>
  </si>
  <si>
    <t>4.3.20.</t>
  </si>
  <si>
    <t xml:space="preserve"> (80 Officers x $40 x 4 days plus transport $300 X 2 buses</t>
  </si>
  <si>
    <t>Outcome 5: Strengthened Gender Mainstreaming in the work of Parliament</t>
  </si>
  <si>
    <t xml:space="preserve">Output 5.1: Parliamentary Committees and the Administration of Parliament capacity in gender mainstreaming improved. </t>
  </si>
  <si>
    <t>5.1.1</t>
  </si>
  <si>
    <t xml:space="preserve"> (200 Officers x $185 x 2 days  plus transport $420.00 x 4 buses) </t>
  </si>
  <si>
    <t>5.1.2</t>
  </si>
  <si>
    <t xml:space="preserve">Hold two day  Gender mainstreaming and gender based violence training for 6 committees </t>
  </si>
  <si>
    <t>5.1.3</t>
  </si>
  <si>
    <t>(Printing cost 500 copies x $6 plus launching expenses $5 000)</t>
  </si>
  <si>
    <t>Output 5.2: Zimbabwe Parliamentary Women Caucus capacity in lobbying and advocacy for gender equality and women empowerment increased</t>
  </si>
  <si>
    <t>5.2.1</t>
  </si>
  <si>
    <t xml:space="preserve">Convene a Zimbabwe Women Parliamentary Caucus (ZWPC) management workshop to craft strategic plan for 2014 - 2018 </t>
  </si>
  <si>
    <t xml:space="preserve"> ( 3 days workshop for 120 members x $40 per participant per day plus  POZ  transport $400 X 3 buses.)  </t>
  </si>
  <si>
    <t>5.2.2</t>
  </si>
  <si>
    <t>5.2.3</t>
  </si>
  <si>
    <t>20 members of the  ZWPC undertake an exchange visit to I Regional country on a benchmark visit.</t>
  </si>
  <si>
    <t>5.2.4</t>
  </si>
  <si>
    <t xml:space="preserve"> (50 members including staff  X $185 X 3 days plus 3 Consultants x $400 x 3 days  plus transport $2500)</t>
  </si>
  <si>
    <t>5.2.5</t>
  </si>
  <si>
    <t xml:space="preserve">Convene Computer appreciation training programme for 120 members of the Women Caucus </t>
  </si>
  <si>
    <t xml:space="preserve"> (120 participants X $20 X 3 days)</t>
  </si>
  <si>
    <t>5.2.6</t>
  </si>
  <si>
    <t xml:space="preserve">Convene one sensitisation and awareness training workshops on Gender based violence for 60 ZWPC members </t>
  </si>
  <si>
    <t>TOTAL BUDGET</t>
  </si>
  <si>
    <t>Add 7%  UNDP STANDARD GMS</t>
  </si>
  <si>
    <t>GRAND TOTAL</t>
  </si>
  <si>
    <t>Exchange rate:  EURO1 = US$1.1317</t>
  </si>
  <si>
    <t>US$</t>
  </si>
  <si>
    <t>UNDP</t>
  </si>
  <si>
    <t>Total</t>
  </si>
  <si>
    <t>2. Justification of the Budget for the Action</t>
  </si>
  <si>
    <t>All Years</t>
  </si>
  <si>
    <t>Costs</t>
  </si>
  <si>
    <t>Clarification of the budget items</t>
  </si>
  <si>
    <t>Provide a narrative clarification of each budget item demonstrating the necessity of the costs and how they relate to the action (e.g. through references to the activities and/or results in the Description of the Action).</t>
  </si>
  <si>
    <r>
      <t>3. Expected sources of funding &amp; summary of estimated costs</t>
    </r>
    <r>
      <rPr>
        <b/>
        <vertAlign val="superscript"/>
        <sz val="12"/>
        <rFont val="Verdana"/>
        <family val="2"/>
      </rPr>
      <t>1</t>
    </r>
  </si>
  <si>
    <t>Amount</t>
  </si>
  <si>
    <t>Percentage</t>
  </si>
  <si>
    <t xml:space="preserve">EUR
</t>
  </si>
  <si>
    <t>%</t>
  </si>
  <si>
    <t xml:space="preserve">Expected sources of funding </t>
  </si>
  <si>
    <r>
      <t xml:space="preserve">EU/EDF  contribution sought in this application </t>
    </r>
    <r>
      <rPr>
        <b/>
        <sz val="10"/>
        <rFont val="Verdana"/>
        <family val="2"/>
      </rPr>
      <t>(A)</t>
    </r>
  </si>
  <si>
    <t>Other contributions (Applicant, other Donors etc)</t>
  </si>
  <si>
    <t>Name</t>
  </si>
  <si>
    <r>
      <t xml:space="preserve">Conditions </t>
    </r>
    <r>
      <rPr>
        <i/>
        <vertAlign val="superscript"/>
        <sz val="10"/>
        <color indexed="8"/>
        <rFont val="Verdana"/>
        <family val="2"/>
      </rPr>
      <t>6</t>
    </r>
  </si>
  <si>
    <t>OTHER contributors</t>
  </si>
  <si>
    <t xml:space="preserve">Revenue from the Action </t>
  </si>
  <si>
    <t xml:space="preserve">To be inserted if applicable and allowed by the guidelines: </t>
  </si>
  <si>
    <r>
      <t xml:space="preserve">In-kind contributions </t>
    </r>
    <r>
      <rPr>
        <vertAlign val="superscript"/>
        <sz val="10"/>
        <rFont val="Verdana"/>
        <family val="2"/>
      </rPr>
      <t xml:space="preserve">5 </t>
    </r>
  </si>
  <si>
    <t>Expected TOTAL CONTRIBUTIONS</t>
  </si>
  <si>
    <t>Estimated Costs</t>
  </si>
  <si>
    <r>
      <t xml:space="preserve">Estimated TOTAL ELIGIBLE COSTS </t>
    </r>
    <r>
      <rPr>
        <vertAlign val="superscript"/>
        <sz val="10"/>
        <rFont val="Verdana"/>
        <family val="2"/>
      </rPr>
      <t>2</t>
    </r>
    <r>
      <rPr>
        <sz val="10"/>
        <rFont val="Verdana"/>
        <family val="2"/>
      </rPr>
      <t xml:space="preserve"> </t>
    </r>
    <r>
      <rPr>
        <b/>
        <sz val="10"/>
        <rFont val="Verdana"/>
        <family val="2"/>
      </rPr>
      <t>(B)</t>
    </r>
  </si>
  <si>
    <r>
      <t xml:space="preserve">EU/EDF contribution expressed as a percentage of total eligible costs </t>
    </r>
    <r>
      <rPr>
        <vertAlign val="superscript"/>
        <sz val="9"/>
        <rFont val="Verdana"/>
        <family val="2"/>
      </rPr>
      <t>4</t>
    </r>
    <r>
      <rPr>
        <sz val="9"/>
        <rFont val="Verdana"/>
        <family val="2"/>
      </rPr>
      <t xml:space="preserve"> </t>
    </r>
    <r>
      <rPr>
        <b/>
        <sz val="9"/>
        <rFont val="Verdana"/>
        <family val="2"/>
      </rPr>
      <t>(A/B x 100)</t>
    </r>
  </si>
  <si>
    <r>
      <t xml:space="preserve">Taxes/In-kind contributions </t>
    </r>
    <r>
      <rPr>
        <vertAlign val="superscript"/>
        <sz val="10"/>
        <color indexed="8"/>
        <rFont val="Verdana"/>
        <family val="2"/>
      </rPr>
      <t>5</t>
    </r>
    <r>
      <rPr>
        <sz val="10"/>
        <color indexed="8"/>
        <rFont val="Verdana"/>
        <family val="2"/>
      </rPr>
      <t xml:space="preserve"> </t>
    </r>
  </si>
  <si>
    <r>
      <t xml:space="preserve">Estimated TOTAL ACCEPTED COSTS </t>
    </r>
    <r>
      <rPr>
        <vertAlign val="superscript"/>
        <sz val="10"/>
        <rFont val="Verdana"/>
        <family val="2"/>
      </rPr>
      <t xml:space="preserve">3 </t>
    </r>
    <r>
      <rPr>
        <b/>
        <sz val="10"/>
        <rFont val="Verdana"/>
        <family val="2"/>
      </rPr>
      <t>(C)</t>
    </r>
  </si>
  <si>
    <r>
      <t>EU/EDF contribution expressed as a percentage of total accepted costs</t>
    </r>
    <r>
      <rPr>
        <vertAlign val="superscript"/>
        <sz val="9"/>
        <rFont val="Verdana"/>
        <family val="2"/>
      </rPr>
      <t>4</t>
    </r>
    <r>
      <rPr>
        <sz val="9"/>
        <rFont val="Verdana"/>
        <family val="2"/>
      </rPr>
      <t xml:space="preserve"> </t>
    </r>
    <r>
      <rPr>
        <b/>
        <sz val="9"/>
        <rFont val="Verdana"/>
        <family val="2"/>
      </rPr>
      <t>(A/C x 100)</t>
    </r>
  </si>
  <si>
    <t>1.  Expected sources of funding and estimated costs must be in balance. It is reminded that the figures introduced in the table shall respect all the points included in the checklist for the full application form (part 7 of the full application form)</t>
  </si>
  <si>
    <t>2. as per heading 11 of the Budget of the Action</t>
  </si>
  <si>
    <t>3. as per heading 13 of the Budget of the Action</t>
  </si>
  <si>
    <t>4. do not round, enter percentage with 2 decimals (e.g. 74,38%)</t>
  </si>
  <si>
    <t>5.  as per heading 12 of the Budget of the Action</t>
  </si>
  <si>
    <t>6. with reference to art.17.4 (b) of the General Conditions</t>
  </si>
  <si>
    <t xml:space="preserve"> (Co-fund only 76 participants for 3 days at US$185 per day plus 3 discussants ($400 X 3 days X3 discussants for 2 years) plus  hired transport-  $4 757.50)</t>
  </si>
  <si>
    <t xml:space="preserve">  (2 X 250 participants per year X one day at US$40 per day over 2 years  plus 3 consultants @ $400 each per day X 2 days plus hired transport $311.11 X 18 trips)</t>
  </si>
  <si>
    <t xml:space="preserve">Convene a one day Post- Budget Seminar for 250 MPs per year and stakeholders for the National budget  </t>
  </si>
  <si>
    <t xml:space="preserve"> (Three days x 62 MPs &amp; Stakeholders x $185 per Officer plus hired transport @ $2465 per year over 2 years) .</t>
  </si>
  <si>
    <t xml:space="preserve"> (3 MPs &amp; staff X $385 per day per participant X 15 days plus airfares$ 3 000 per delegate for 2 years)</t>
  </si>
  <si>
    <t xml:space="preserve">(3 Consultants X 3 days each @$400 per day for about 15 bills for 4 meetings and transport $1200) </t>
  </si>
  <si>
    <t xml:space="preserve">5 Portfolio and Thematic Committees conduct public  hearings on Committee Specific Issues  in  accessible venues in the Provinces </t>
  </si>
  <si>
    <t>(5 Committees x 5 days public hearings 25 member Committees including staff  @ $185 p/member plus hired  bus outside Harare ( $2 500*5 Comm.)</t>
  </si>
  <si>
    <t>(2 X 60 Committee members x 2 day workshops X $185 a day plus tansport hired US$2500 x 2 buses)</t>
  </si>
  <si>
    <t>(10 provinces visited for 6 days per province by 6 Officers @ $185 per Officer a day  plus 2 x POZ project vehicles outside Hre $560 x 10.)</t>
  </si>
  <si>
    <t xml:space="preserve"> (60 participants including staff X $185 X 3 days plus 2 consultancy @ $400 X 2 days X 1 groups plus hired transport $2397 X 1 bus )</t>
  </si>
  <si>
    <t>SUBTOTAL</t>
  </si>
  <si>
    <t>Normal audit assignment to be carried out annually</t>
  </si>
  <si>
    <t>PCU need to organise project Board meetings for all PSP partners and stakeholders as per project agreement to review progress on implementation</t>
  </si>
  <si>
    <t>Office Administrative costs for the PCU</t>
  </si>
  <si>
    <t>POZ need to hold its annual coorporate planning workshop at the beginning of the year every year to plan for the year</t>
  </si>
  <si>
    <t>Presiding Officers and Chairperson' panel to undertake learning exchange visit to other Parliaments to learn best practices and share experiences in order to manage change.</t>
  </si>
  <si>
    <t>Consultant required to assist POZ to implement the ISO Quality Management Sytem at POZ.</t>
  </si>
  <si>
    <t>QMS requirement to enhance management of Institutional records to improve service delivery.</t>
  </si>
  <si>
    <t>Officers in the Finance department need to be trained in the Public Finance Management System to enhance their skills in Public Finance management.</t>
  </si>
  <si>
    <t>Managers in the transport department need a refresher course on transport management to enhance their mangement skills</t>
  </si>
  <si>
    <t>Course identified to address knowledge and skills gape in the ICT department</t>
  </si>
  <si>
    <t>Constituency Informatic data analysed by Researhers need to be disseminated to provinces and constituency for use by the MPs, the public and researchers</t>
  </si>
  <si>
    <t>Training required under the QMS to address identified Institutional risks which need to be addressed</t>
  </si>
  <si>
    <t>Conduct a four days  training workshop on Quality Management Systems Audit refresher course for 6 QMS auditors)</t>
  </si>
  <si>
    <t>Training required under the QMS to give a refresher training to QMS Root Course Analysis Committee members for them to effectively carry out their QMS duties.</t>
  </si>
  <si>
    <t>Training required under the QMS to give a refresher training on old and new ISO internal auditors in order to effectively carry out their QMS audit duties.</t>
  </si>
  <si>
    <t>POZ to carry out Results based management training to all officers in line with Government's requirement under the ZIMASSET programme</t>
  </si>
  <si>
    <t>Annual risk profiling of clients needed after every audit.</t>
  </si>
  <si>
    <t>Consultant needed to carry out an ICT   needs assessment of the whole AGO's office.</t>
  </si>
  <si>
    <t>Procure printers for Committees and other departments.</t>
  </si>
  <si>
    <t>The last informatic database was update in the 6 th Parliament and there is need to update it since there has been a lot of changes.in constituencies.</t>
  </si>
  <si>
    <t>POZ carries outreach programmes to Schools, Colleges and Universities to improve children's knowledge of POZ business so as to inspire democratic participation of youths in governance issues.</t>
  </si>
  <si>
    <t xml:space="preserve">As POZ is going to be audited for ISO re-certification, it was recommended that all members of staff go for QMS re-sensitisation and Balanced Scorecard  training to sharpen up their QMS knowledge </t>
  </si>
  <si>
    <t>Baseline: 400 pieces of legislation not aligned to the constitution</t>
  </si>
  <si>
    <t>PCU staff costs for Programme Accountant (PPA) plus recruitment costs</t>
  </si>
  <si>
    <t>PCU staff costs for the Parliament Programme Coordinator (PPC)</t>
  </si>
  <si>
    <t>PPC salaries (US$7640 x 34 months )</t>
  </si>
  <si>
    <t>PPA salaries ( $5 040 x 34 months plus advertisement costs $5 000)</t>
  </si>
  <si>
    <r>
      <t xml:space="preserve">Output indicators: </t>
    </r>
    <r>
      <rPr>
        <sz val="16"/>
        <rFont val="Arial"/>
        <family val="2"/>
      </rPr>
      <t>Legislation influenced by public input / 20 pieces of legislation due for alignment with Constitution passed / # number of independent Commission laws passed / All Committees produce Workplans in line with the Strategic plan and the PSP Programme</t>
    </r>
  </si>
  <si>
    <r>
      <t xml:space="preserve">Output Target: </t>
    </r>
    <r>
      <rPr>
        <sz val="16"/>
        <rFont val="Arial"/>
        <family val="2"/>
      </rPr>
      <t>20 pieces of legislation aligned to the Constitution / Legislation for all new Independent Commissions passed / One LCC-Executive relations dialogue session held  / 26 Committees Workplans produced in line with the Strategic plan and the PSP Programme</t>
    </r>
  </si>
  <si>
    <r>
      <t xml:space="preserve">Baseline: </t>
    </r>
    <r>
      <rPr>
        <sz val="16"/>
        <rFont val="Arial"/>
        <family val="2"/>
      </rPr>
      <t>Knowledge and skills deficits in legislative and policy analysis ( Baseline Survey Results  and 60% new members</t>
    </r>
  </si>
  <si>
    <r>
      <t xml:space="preserve">Output Targets: </t>
    </r>
    <r>
      <rPr>
        <sz val="16"/>
        <rFont val="Arial"/>
        <family val="2"/>
      </rPr>
      <t>8 Baseline studies completed / 8 sector specific training modules developed / 5 other POZ publications produced and distributed</t>
    </r>
  </si>
  <si>
    <r>
      <t xml:space="preserve">Baseline: </t>
    </r>
    <r>
      <rPr>
        <sz val="16"/>
        <rFont val="Arial"/>
        <family val="2"/>
      </rPr>
      <t>Non adherence to constitutional requirements on submission of reports from Ministries, Parastatals and State Enterprises on the use and management of public resources</t>
    </r>
  </si>
  <si>
    <r>
      <t>Output Indicators:</t>
    </r>
    <r>
      <rPr>
        <sz val="16"/>
        <rFont val="Arial"/>
        <family val="2"/>
      </rPr>
      <t xml:space="preserve"> # number of reports received and reviewed within statutory requirements  / #Quality of debates and recommendations made from the reports / # number of issues from public consultations incorporated in policy and legislation / # number of Portfolio and Thematic Committees public hearings in at least five provinces annually / # number of parastatal organisations and a minimum of 5 local authorities make at least one public presentation to the relevant Portfolio or Thematic Committee / #At least 5 issues considered by Portfolio and Thematic Committees from the public reviewed and tabled in Parliament / # number of public proposals incorporated in the National budget</t>
    </r>
  </si>
  <si>
    <r>
      <t xml:space="preserve">Output Target:  </t>
    </r>
    <r>
      <rPr>
        <sz val="16"/>
        <rFont val="Arial"/>
        <family val="2"/>
      </rPr>
      <t>50% of reports received and reviewed / At least seven public consultations / 50% of recommendations adopted / 50% of issues raised incorporated into recommendations to the executive / At least 10 public consultation / 20 state enterprises and institutions assessed on issues under their portfolio/ 70% of senior members of the Executive (ministers and Permanent Secretaries) responding to issues under their portfolio increasedmeetings on budget issues undertaken by the Finance and Economic Planning Committee / Access to information / % increase in Public participation in Portfolio and Thematic meetings / Process of petitioning by the public made available to public through Parliament website</t>
    </r>
  </si>
  <si>
    <r>
      <t xml:space="preserve">Baseline: </t>
    </r>
    <r>
      <rPr>
        <sz val="16"/>
        <rFont val="Arial"/>
        <family val="2"/>
      </rPr>
      <t xml:space="preserve"> Baseline Survey on Committees Specific Issues (2011)</t>
    </r>
  </si>
  <si>
    <r>
      <t xml:space="preserve">Output Indicators: </t>
    </r>
    <r>
      <rPr>
        <sz val="16"/>
        <rFont val="Arial"/>
        <family val="2"/>
      </rPr>
      <t># number of consultative meetings on the roles and functions of ministries / # number of Members applying knowledge and skills in International relations and Parliamentary diplomacy / 50% of  Thematic and Portfolio   Committees hold consultative meetings with respective ministries /  At least 50% of MPs trained in International Relations and Parliamentary diplomacy</t>
    </r>
  </si>
  <si>
    <t>Baseline:  Current Code of Conduct and Ethics</t>
  </si>
  <si>
    <r>
      <t xml:space="preserve">Indicators: </t>
    </r>
    <r>
      <rPr>
        <sz val="16"/>
        <rFont val="Arial"/>
        <family val="2"/>
      </rPr>
      <t xml:space="preserve">Adopted Code of Conduct and Ethics / # number of Parliamentarians sensitized on the aligned code of conduct and ethics </t>
    </r>
  </si>
  <si>
    <r>
      <t xml:space="preserve">Output Target: </t>
    </r>
    <r>
      <rPr>
        <sz val="16"/>
        <rFont val="Arial"/>
        <family val="2"/>
      </rPr>
      <t>Code of conduct and ethics adopted / 350 MPs sensitised / 100% adherence to the Code of Conduct</t>
    </r>
  </si>
  <si>
    <r>
      <t>Output Indicators:</t>
    </r>
    <r>
      <rPr>
        <sz val="16"/>
        <rFont val="Arial"/>
        <family val="2"/>
      </rPr>
      <t xml:space="preserve"> # number of audits carried out using the Customised and Regularity Manual / #Auditor General Office  strategic plan document (2014 - 2018) / #SAP system installed / #number of Risk profiling reports of all  ministries / #Public account engagement quidelines reviewed HR policies and procedures / # number of perfomance contracts signed / #Best practice adopted from international exchange visits. / #number of laptops procured / #Project motor vehicle procured / *Strategic plan revised / </t>
    </r>
  </si>
  <si>
    <r>
      <t xml:space="preserve">Baseline: </t>
    </r>
    <r>
      <rPr>
        <sz val="16"/>
        <rFont val="Arial"/>
        <family val="2"/>
      </rPr>
      <t>Old strategic plan/2012 Auditor General's Consolidated report</t>
    </r>
  </si>
  <si>
    <r>
      <t>Output Indicators:</t>
    </r>
    <r>
      <rPr>
        <sz val="16"/>
        <rFont val="Arial"/>
        <family val="2"/>
      </rPr>
      <t xml:space="preserve">  Action plan for 2015 Audit developed/SAP quarterly reports/*Risk mitigation and implementation plan for all ministries developed/All human resources policies and procedures adopted/*Performance contract for all employees developed and implemented/*Two Exchange visits conducted/*Two training of audited entities/*3 Motor vehicles procured/*50 laptops and ICT equipment procured/*Office furniture and equipment procured</t>
    </r>
  </si>
  <si>
    <t>Baseline: 2011 Baseline Survey on Committee Specific Issues. 62% of MPs are new.</t>
  </si>
  <si>
    <r>
      <t xml:space="preserve">Baseline: </t>
    </r>
    <r>
      <rPr>
        <sz val="16"/>
        <rFont val="Arial"/>
        <family val="2"/>
      </rPr>
      <t>Limited Coordination of development interventions to Parliament</t>
    </r>
  </si>
  <si>
    <r>
      <t xml:space="preserve">Output Indicators: </t>
    </r>
    <r>
      <rPr>
        <sz val="16"/>
        <rFont val="Arial"/>
        <family val="2"/>
      </rPr>
      <t>PCU staff appointed / Reports Compliance with quality and deadlines requirements / Functional Coordination mechanism / Project Vehicles procured / Approved monitoring and evaluation tool / PCU staff trained in Project Management / Resource mobilization strategy approved /</t>
    </r>
  </si>
  <si>
    <r>
      <t xml:space="preserve">Output Targets: </t>
    </r>
    <r>
      <rPr>
        <sz val="16"/>
        <rFont val="Arial"/>
        <family val="2"/>
      </rPr>
      <t>All programmes supported by Development Partners, Donors and CSO coordinated  / Resource mobilisation strategy adopted and implemented / Project monitoring tool adopted and implemented / All PCU staff trained in Programme Management / Zero deviation from report submission deadlines and format</t>
    </r>
  </si>
  <si>
    <r>
      <t>Baseline:</t>
    </r>
    <r>
      <rPr>
        <sz val="16"/>
        <rFont val="Arial"/>
        <family val="2"/>
      </rPr>
      <t xml:space="preserve"> Gender training manual, Administration of Parliament draft Gender policy</t>
    </r>
  </si>
  <si>
    <r>
      <t>Output Indicator:</t>
    </r>
    <r>
      <rPr>
        <sz val="16"/>
        <rFont val="Arial"/>
        <family val="2"/>
      </rPr>
      <t xml:space="preserve"> #number of committees mainstreaming gender/#number of Parliament departments gender mainstreamed/#number of Parliament processes and systems gender mainstreamed/#Gender policy/#Gender sensitive legislation passed/</t>
    </r>
  </si>
  <si>
    <r>
      <t>Output Target:</t>
    </r>
    <r>
      <rPr>
        <sz val="16"/>
        <rFont val="Arial"/>
        <family val="2"/>
      </rPr>
      <t xml:space="preserve"> 5 Committees trained and implementing Gender nainstreaming/Senior Staff of Parliament trained and implementing gender mainstreaming/Administration of Parliament Gender policy launched and implemented/</t>
    </r>
  </si>
  <si>
    <r>
      <rPr>
        <b/>
        <sz val="16"/>
        <rFont val="Arial"/>
        <family val="2"/>
      </rPr>
      <t>Baseline</t>
    </r>
    <r>
      <rPr>
        <sz val="16"/>
        <rFont val="Arial"/>
        <family val="2"/>
      </rPr>
      <t>: No strategic plan. Inadequate skill of members to effectively debate</t>
    </r>
  </si>
  <si>
    <r>
      <t xml:space="preserve">Output Indicators: </t>
    </r>
    <r>
      <rPr>
        <sz val="16"/>
        <rFont val="Arial"/>
        <family val="2"/>
      </rPr>
      <t>#number of members effectively contributing to legislative debate/#number of members able to use ICTs for research and presentation./Quality of contribution to political and economic governance issues./</t>
    </r>
  </si>
  <si>
    <r>
      <t>Output Target:</t>
    </r>
    <r>
      <rPr>
        <sz val="16"/>
        <rFont val="Arial"/>
        <family val="2"/>
      </rPr>
      <t xml:space="preserve"> 123 Women Caucus members trained in gender mainstreaming and gender violence./3 Annual UN Women conventions visits supported/50% of ZWPC members able to use ICT./1 dialogue session on political and economic governance held annually </t>
    </r>
  </si>
  <si>
    <r>
      <t xml:space="preserve">Output Indicators:  </t>
    </r>
    <r>
      <rPr>
        <sz val="16"/>
        <rFont val="Arial"/>
        <family val="2"/>
      </rPr>
      <t xml:space="preserve">Eight baseline studies  / Eight training modules  /  #number of targeted Parliament staff trained on use of modules /#Informed inputs in public policy debates / #number of MPs able to articulate issues in Parliament  #Quality Parliament publicationsrelated to Ministries shadowed by their Committees. / </t>
    </r>
  </si>
  <si>
    <r>
      <t>Output indicator:</t>
    </r>
    <r>
      <rPr>
        <sz val="16"/>
        <rFont val="Arial"/>
        <family val="2"/>
      </rPr>
      <t xml:space="preserve"> # number of Portfolio and Thematic Committee members trained in applying proper conduct of meetings and public hearings/# number of public hearings in legislative, oversight and representative functions of Parliament/# number of proposed amendments to legislation arising from public consultations adopted/# number of women - specific issues from public hearings discussed in the National Assembly and the Senate/All legislative subjected to public debate</t>
    </r>
  </si>
  <si>
    <r>
      <t xml:space="preserve">Output target: </t>
    </r>
    <r>
      <rPr>
        <sz val="16"/>
        <rFont val="Arial"/>
        <family val="2"/>
      </rPr>
      <t>*25% Increase in public hearings/*25% increase in Women participation in public hearings annually/*Recommendation from 6 Portfolio and Thematic Committees tabled debated and communicated to the executive.</t>
    </r>
  </si>
  <si>
    <t>PROJECT TOTAL</t>
  </si>
  <si>
    <t>Activiy Cost</t>
  </si>
  <si>
    <t>The  Auditor Genera's Office (AGO) to review its strategic plan in line with their constitutional mandate,</t>
  </si>
  <si>
    <t>The AGO Human Resources policy is regarded outdated and need review in line with the Constitution.</t>
  </si>
  <si>
    <t>Consultant required to develop audit programmes in consultations with the AGO;s management.</t>
  </si>
  <si>
    <t>Auditor General's office need sensitise clients on general audit observations and internal controls frameworks to improve efficiency.</t>
  </si>
  <si>
    <t>The AGO need to carry out benchemarking visits to other Auditor Generals Offices  and learn good practices.</t>
  </si>
  <si>
    <t>Committees need to carry out public hearings on specific issues, public outcry or concern, as well as investigate and report to Parliament with recommendations.</t>
  </si>
  <si>
    <t>Project vehicles are to support the implementation of the programme action including outreach programmes. The cost of drivers, servicing and maintenance of the project vehicle will be borne by Parliament, as specified in the Letter of Agreement with UNDP.</t>
  </si>
  <si>
    <t xml:space="preserve">Project personnel need constant staff development to provide effective technical and advisory support services in the implementation of this project. The action is associated with the support to the PCU. </t>
  </si>
  <si>
    <t>Programme accounts operate on PASTEL Accounting software and requires regular upgrades and staff refresher training.</t>
  </si>
  <si>
    <t xml:space="preserve">Consultant required to carry out a  comprehensive staff skills audit, identify gaps and capacity building requirements. </t>
  </si>
  <si>
    <t xml:space="preserve">POZ Administration staff need to undertake study visits to other Parliaments to share experiences and learn good practises in the region and abroad. </t>
  </si>
  <si>
    <t xml:space="preserve"> Software  recommended in the Parliament ICT Strategy acquired for the Library, Hansard and Committees departments to enhance their functions.</t>
  </si>
  <si>
    <t>Laptops required by Committee Clerks for use in the Committee business</t>
  </si>
  <si>
    <t>POZ convenes and or participates in annually regional parliament forum (Zambia, Malawi, Bostwana, South Africa, Angola and Zimbabwe) to discuss and share experiences, knowledge and recommendations to improve parliaments in the region.</t>
  </si>
  <si>
    <t>There is need for continuous training for Committee Clerks and Researchers to enable them produce quality reports for the House.</t>
  </si>
  <si>
    <t xml:space="preserve">PoZ needs to improve client service and customers needs to enhance its image and visibility as an accessible and  user friendly organisation.   </t>
  </si>
  <si>
    <t>POZ participates at national exhibition foras such as the International Trade Fairs and Harare Agricultural Show as part of the public outreach programme and to improve its visibility</t>
  </si>
  <si>
    <t>Data analysis skills gap was identified among researchers and there is need for them to be trained in research and data analysis</t>
  </si>
  <si>
    <t>Defensive driving training is  required for all POZ drvers and staff in order to curb the rate of accidents, repair cost, loss of property and lives.</t>
  </si>
  <si>
    <t xml:space="preserve"> POZ needs to sensitise all its staff on gender mainstreaming and gender based violence issues in order to raise awareness among its workforce.</t>
  </si>
  <si>
    <t xml:space="preserve"> POZ needs to sensitise all its MPs on gender mainstreaming and gender based violence issues in order to raise awareness among its MPs.</t>
  </si>
  <si>
    <t>POZ will need to produce an Institutional Gender policy which will be launched to raise awareness among staff and the public</t>
  </si>
  <si>
    <t>d)</t>
  </si>
  <si>
    <t xml:space="preserve">PSP Summary Indicative Budget  (EURO) </t>
  </si>
  <si>
    <t>Component</t>
  </si>
  <si>
    <t xml:space="preserve">Total </t>
  </si>
  <si>
    <t xml:space="preserve">Outcome </t>
  </si>
  <si>
    <t>EURO</t>
  </si>
  <si>
    <t>New laws enacted and old laws aligned to the constitution</t>
  </si>
  <si>
    <t>Oversight function of Parliament strengthened: Public service delivery capacity improved</t>
  </si>
  <si>
    <t>People’s participation in legislation formulation, decision making and related democratic processes increased</t>
  </si>
  <si>
    <t>Parliament performance of its core functions strengthened through capacitating Parliament leadership and staff</t>
  </si>
  <si>
    <t>Strengthened Gender Mainstreaming in the work of Parliament</t>
  </si>
  <si>
    <t>Subtotal</t>
  </si>
  <si>
    <t>UNDP Standard GMS</t>
  </si>
  <si>
    <t>Grand Total</t>
  </si>
  <si>
    <t>EURO/US$ Exchange rate</t>
  </si>
  <si>
    <t>=</t>
  </si>
  <si>
    <t>USD</t>
  </si>
  <si>
    <t>Unit</t>
  </si>
  <si>
    <t># Units</t>
  </si>
  <si>
    <t>Unit value
(in EUR)</t>
  </si>
  <si>
    <t>Total Cost
(in EUR)</t>
  </si>
  <si>
    <t>(a)</t>
  </si>
  <si>
    <t>(b)</t>
  </si>
  <si>
    <t>(a)*(b)</t>
  </si>
  <si>
    <t>1.1.1.1</t>
  </si>
  <si>
    <t>Total Cost
(in USD)</t>
  </si>
  <si>
    <t>Unit value
(in US$</t>
  </si>
  <si>
    <t>*Design and Printing of MPs charts and Parliament notebooks</t>
  </si>
  <si>
    <t>(Printing costs -10 000  MP charts ($17700) and 2 000 Note books $10263 and Promotional materials $6800</t>
  </si>
  <si>
    <t>Acquisition of library books and journals for Parliament library</t>
  </si>
  <si>
    <t>1.2.19.1</t>
  </si>
  <si>
    <t>1.2.19.2</t>
  </si>
  <si>
    <t>1.2.20</t>
  </si>
  <si>
    <t xml:space="preserve"> 3 Committees trained on legislative and policy analysis  </t>
  </si>
  <si>
    <t>1.2.21</t>
  </si>
  <si>
    <t xml:space="preserve">5 Foreign Affairs Committee Members go on a study tour of Botswana Foreign Missions and related organisations </t>
  </si>
  <si>
    <t>1.2.23</t>
  </si>
  <si>
    <t xml:space="preserve">5 Foreign Affairs Committee Members go on a study tour of Ethiopia </t>
  </si>
  <si>
    <t xml:space="preserve"> ( 5 members X $250 DSA X 8 days X $2073 airfares  )</t>
  </si>
  <si>
    <t xml:space="preserve"> (5 members X $250 DSA X 8 days X $2946.5 airfares  )</t>
  </si>
  <si>
    <t>Compile a conpedium of service delivery and management of public resources reports presented in Parliament for the 2016</t>
  </si>
  <si>
    <t>2.1.4.1</t>
  </si>
  <si>
    <t xml:space="preserve">Support Committees to carry out pre-budget consultations with stakeholders across the country on National budgets  </t>
  </si>
  <si>
    <t>2.1.6</t>
  </si>
  <si>
    <t>Support 55 MPs and staff to attend the annual  three days Pre- Budget Seminar for  MPs and stakeholders for the National budget including 2016 outstanding bills</t>
  </si>
  <si>
    <t xml:space="preserve"> (Co-fund only 55 participants for 3 days at US$195 accommodation, meals &amp; allowances a day plus 3 discussants ($400x3*2) plus  hired transport-  $6 090)</t>
  </si>
  <si>
    <t>Support training of 10 Committees in  oversight and representation functions</t>
  </si>
  <si>
    <t>2.2.3.1</t>
  </si>
  <si>
    <t>Hold a One day UN system sensitisation and  SDG follow up workshop for members of Parliament</t>
  </si>
  <si>
    <t>2.2.3.2</t>
  </si>
  <si>
    <t>Hold  a consultative meeting between the MPs, SORC Committee and the consultancy on the Code of conduct .</t>
  </si>
  <si>
    <t>(2 X Review of the Auditor General's strategic plan (45 Managers x $170 x 5 days plus transport and consultation fees $11710)</t>
  </si>
  <si>
    <t>2.4.1.1</t>
  </si>
  <si>
    <t>Develop and update IT Audit and support strategy and policies</t>
  </si>
  <si>
    <t>45 Auditors @ $40 per day meals and accommodation for 3 days</t>
  </si>
  <si>
    <t xml:space="preserve">Conduct risk profiling of Audit clients and Develop and update IT Audit and Support strategy and policies </t>
  </si>
  <si>
    <t>2.4.3.1</t>
  </si>
  <si>
    <t xml:space="preserve">Auditors attend  proffessional audit courses,seminars and conference for proffessional development - Outstading </t>
  </si>
  <si>
    <t>(2 X Consultants x $400 x 13 days plus transport $190)</t>
  </si>
  <si>
    <t xml:space="preserve">Outstanding Amounts  $4360 +$3000 +$1400 +$120 </t>
  </si>
  <si>
    <t xml:space="preserve">2.4.3.2 </t>
  </si>
  <si>
    <t xml:space="preserve">Conduct  One seminar for audited entities on their audit roles and responsibilities  </t>
  </si>
  <si>
    <t xml:space="preserve"> ( 50 Participants X 1 workshop plus $25 conference package per day, per person X 5 days plus facilitators fee of 1 X 500 per day ) Plus transport $1 250 </t>
  </si>
  <si>
    <t>Procure 4 projectors and  20 laptops for the Auditor Generals Office</t>
  </si>
  <si>
    <t>(4 projectors @ $ 210 eachplus other costs)</t>
  </si>
  <si>
    <t>2.4.19</t>
  </si>
  <si>
    <t>2.4.23</t>
  </si>
  <si>
    <t>Hold an annual stocktake update workshop for auditors</t>
  </si>
  <si>
    <t>3.1.1.1</t>
  </si>
  <si>
    <t>Carry out follow up on previous visits and recommendations</t>
  </si>
  <si>
    <t>4.1.3.1</t>
  </si>
  <si>
    <t>4.1.3.2</t>
  </si>
  <si>
    <t>4.1.3.3</t>
  </si>
  <si>
    <t>4.1.4.1</t>
  </si>
  <si>
    <t>4.1.4.2</t>
  </si>
  <si>
    <t>Procure two  project vehicles (All terrain vehicles  to support Parliament programme activities )</t>
  </si>
  <si>
    <t xml:space="preserve"> (2 x 4x4 All terrain project  vehicles @ $29 410.04 each ).</t>
  </si>
  <si>
    <t>Purchase accessories for three new project vehicles (bullbar, canopy tour hitch etc)</t>
  </si>
  <si>
    <t>4.1.11.1</t>
  </si>
  <si>
    <t>4.1.11.2</t>
  </si>
  <si>
    <t>4.1.11.3</t>
  </si>
  <si>
    <t xml:space="preserve">Conduct inception and validation of review meeting for the project evaluation </t>
  </si>
  <si>
    <t>4.1.11.4</t>
  </si>
  <si>
    <t>4.1.11.6</t>
  </si>
  <si>
    <t>4.1.11.7</t>
  </si>
  <si>
    <t xml:space="preserve">Engage External Auditors for  Multi-donor Parliament Support Programme 2014 - 2017  </t>
  </si>
  <si>
    <t>4.1.12</t>
  </si>
  <si>
    <t>Insurance cover for new project vehicles</t>
  </si>
  <si>
    <t xml:space="preserve">3 vehicles @ $2 166 per vehicle per year premium </t>
  </si>
  <si>
    <t>4.1.14</t>
  </si>
  <si>
    <t>4.1.18</t>
  </si>
  <si>
    <t>UNDP - Graduate Intern stipends and related costs</t>
  </si>
  <si>
    <t xml:space="preserve">Procure   ICT software  and associated accessories </t>
  </si>
  <si>
    <t>4.2.7.1</t>
  </si>
  <si>
    <t>4.2.7.2</t>
  </si>
  <si>
    <t xml:space="preserve">Procure 2 heavy duty Printers </t>
  </si>
  <si>
    <t>(2 Printers @ $2550 each plus clearing costs)</t>
  </si>
  <si>
    <t>4.2.11.1</t>
  </si>
  <si>
    <t>ISO and QMS certification maintenance</t>
  </si>
  <si>
    <t>4.2.11.3</t>
  </si>
  <si>
    <t>Hold one workshop for Mapping and Review of  QMS proceedures</t>
  </si>
  <si>
    <t xml:space="preserve">40 QMS members X US$40 for meals, accommodation and allowances X 3 days </t>
  </si>
  <si>
    <t>4.2.17</t>
  </si>
  <si>
    <t>Develop Hansard Style manual workshop for Hansard reporters</t>
  </si>
  <si>
    <t>(26 Hansard Officers X $195 Accommodation, meals &amp; allowances plus transport $2 790 )</t>
  </si>
  <si>
    <t>4.2.19</t>
  </si>
  <si>
    <t>Engage Consultancy services for ICT infrastructure Audit &amp; implementation of ICT strategy 2016 Exp</t>
  </si>
  <si>
    <t xml:space="preserve">One consultant firm @ $500 for 10 days     </t>
  </si>
  <si>
    <t>4.2.21</t>
  </si>
  <si>
    <t xml:space="preserve">Hold a one day Parliamentary Open day for the public </t>
  </si>
  <si>
    <t>4.3.6.1</t>
  </si>
  <si>
    <t xml:space="preserve">Follow-up and compilation of consolidated Parliamentary  outreach reports </t>
  </si>
  <si>
    <t>4.3.16.1</t>
  </si>
  <si>
    <t>Hold one 2 day ISO sensitisation course for all the 150 POZ staff not trained</t>
  </si>
  <si>
    <t xml:space="preserve"> (150 Officers x $35 workshop conference package X 2 days</t>
  </si>
  <si>
    <t>4.3.22</t>
  </si>
  <si>
    <t xml:space="preserve">Occupational Health Training </t>
  </si>
  <si>
    <t>Consultant @ $ 475 X 2 days</t>
  </si>
  <si>
    <t>5.2.1.1</t>
  </si>
  <si>
    <t xml:space="preserve">Print the ZWPC Strategic plan document 2014 - 2018 </t>
  </si>
  <si>
    <t xml:space="preserve"> ( 300 copies  x $8 per copy)  </t>
  </si>
  <si>
    <t>EU AGREEMENT REF:</t>
  </si>
  <si>
    <t>FED/2015/358-801</t>
  </si>
  <si>
    <t>SIDA DONOR PROJECT NO.:</t>
  </si>
  <si>
    <t>UNDP PROJECT REF:</t>
  </si>
  <si>
    <t>(US$)</t>
  </si>
  <si>
    <t xml:space="preserve">Hold One capacity building  training workshops for 120 MPs and staff on International dimension of Parliament activities and Parliamentary diplomacy </t>
  </si>
  <si>
    <t>Procure two 4 x 4 double cab  project vehicles ( to support programme activities by Auditor General )</t>
  </si>
  <si>
    <t xml:space="preserve">6 Portfolio and Thematic Committees conduct public  hearings on Committee Specific Issues  in  accessible venues in the Provinces </t>
  </si>
  <si>
    <t xml:space="preserve">Output 4.1: Management of all programmes supported by Development Partners, Donors, Civil Society Organisations, and other non-State Actors coordinated  </t>
  </si>
  <si>
    <t>4.1.1</t>
  </si>
  <si>
    <t>4.1.11.5</t>
  </si>
  <si>
    <t>4.2.3</t>
  </si>
  <si>
    <t>12 Parliament Officers  undertake international exchange programmes with similar institutions.</t>
  </si>
  <si>
    <t>4.2.5</t>
  </si>
  <si>
    <t>Procure 46 laptops for  committees</t>
  </si>
  <si>
    <t xml:space="preserve">Procure 6 Ordinary black and white Printers </t>
  </si>
  <si>
    <t>(6 Printers @ $370each plus clearing costs)</t>
  </si>
  <si>
    <t>4.2.10</t>
  </si>
  <si>
    <t>4.2.13</t>
  </si>
  <si>
    <t>4.2.14</t>
  </si>
  <si>
    <t xml:space="preserve">Train 150 front office staff and public relations officers on customer care </t>
  </si>
  <si>
    <t xml:space="preserve">Conduct outreach programmes to at least 5 colleges/ schools per province in 10 provinces   </t>
  </si>
  <si>
    <t>4.3.9</t>
  </si>
  <si>
    <t xml:space="preserve">Two Research Officers to undergo  advanced training course on Research and data analysis  </t>
  </si>
  <si>
    <t>4.3.11</t>
  </si>
  <si>
    <t xml:space="preserve">15 officers and drivers to undergo five  days defensive driving course in Harare </t>
  </si>
  <si>
    <t xml:space="preserve">Hold two four day Intergrated  Results Based  Management (IRBM) training workshop for 90 POZ Officers </t>
  </si>
  <si>
    <t>5.1.6</t>
  </si>
  <si>
    <t>4.1.16</t>
  </si>
  <si>
    <t>TOTAL INCLUDING GOVT CONTRIBUTION</t>
  </si>
  <si>
    <t>NO.OF ACTIVITY</t>
  </si>
  <si>
    <t>NO./QTY</t>
  </si>
  <si>
    <t>COST PER UNIT</t>
  </si>
  <si>
    <t>NO. OF DAYS/YEARS PER ACTIVITY</t>
  </si>
  <si>
    <t>Days/years</t>
  </si>
  <si>
    <t>Transport/ Other Costs</t>
  </si>
  <si>
    <t xml:space="preserve">TOTAL </t>
  </si>
  <si>
    <t>day</t>
  </si>
  <si>
    <t xml:space="preserve">UNDP/POZ/CONSULTANTS </t>
  </si>
  <si>
    <t>days</t>
  </si>
  <si>
    <t xml:space="preserve">Hire Two legal experts/Interns to assist the PLC in reviewing bills for alignment with the new constitution. </t>
  </si>
  <si>
    <t>months</t>
  </si>
  <si>
    <t xml:space="preserve">Engage 6 consultants to conduct eight baseline surveys                                                                </t>
  </si>
  <si>
    <t xml:space="preserve">  (6 consultants  @ $500 @ day for10 days  plus advertsement costs $6000):                                                               </t>
  </si>
  <si>
    <t>Subscriptions to journal ($8 000) and purchase of 1 000 books ($17 000)</t>
  </si>
  <si>
    <t xml:space="preserve">Convene one workshop for the Committe on Public Accounts (*PAC) to review reports on service delivery and management of public resources  </t>
  </si>
  <si>
    <t xml:space="preserve"> (one X 3 days workshops of 32 PAC Committee members including staff  X $195 a day plus POZ transport $ 212.00 to  review quarterly reports from 20 Ministries, Parastatals and Local authorities) </t>
  </si>
  <si>
    <t>(14 public hearings by 25 MPs x 5 days each @ $170 a day plus venue fees $1403.33 and hired transport  @ $3000 per bus per Committee)</t>
  </si>
  <si>
    <t>years</t>
  </si>
  <si>
    <t xml:space="preserve"> (250 MPs x One day @ US$40 per person X 3 years plus Consultants ($1638)  </t>
  </si>
  <si>
    <t xml:space="preserve">  ( 250 participants per year X one day at US$40 per day over 2 years  plus 2 consultants @ $400 each per day conference package X 1 day plus $800 transport</t>
  </si>
  <si>
    <t xml:space="preserve">Hire 19 experts to assist 26 Thematic and Portfolio Committee in analysing proposed National Budgets for the respective Committees </t>
  </si>
  <si>
    <t xml:space="preserve">(1 X 60 MPs x $195 DSA x 3 days plus Training fees of $6800 plus 60 staff x $40 conference package x 3 days plus transport   </t>
  </si>
  <si>
    <t xml:space="preserve">Support Parliamentary Committees members and staff attend International Conferences and meetings </t>
  </si>
  <si>
    <t xml:space="preserve"> (2 Committees X 11 members X $250 DSA X 7 days plus $9 485 airfares  )</t>
  </si>
  <si>
    <t xml:space="preserve"> ( One day  workshop of 300 MPs and staff x $ 40 conference package per person  plus transport $1200 )</t>
  </si>
  <si>
    <t xml:space="preserve">days </t>
  </si>
  <si>
    <t xml:space="preserve">Launch of customised RAM/Regulative Audit Manual to 260 Audit staff with assistance of consultants </t>
  </si>
  <si>
    <t xml:space="preserve">(One day workshop of 15 participants @ DSA $40 a day per participant plus consultancy fees of $400 x 12 days) </t>
  </si>
  <si>
    <t>Engage consultancy firm to carry out a   survey and needs assessment for IT office systems including feasibility studies Facilitated by AFROSAI-E consultants.</t>
  </si>
  <si>
    <t xml:space="preserve">( One consultant x $400 x26 days plus transport of $623.00) </t>
  </si>
  <si>
    <t>(2 day seminar X 26 Officers each @ DSA of US$40.00 per person plus AG transport  @ US$1040 per workshop)</t>
  </si>
  <si>
    <t>12 Officers undertake regional exchange programme with other Auditor General's Offices to learn best practices and share audit experiences</t>
  </si>
  <si>
    <t>Train 35 audit staff in the application of the Customised Regularity Audit Manual</t>
  </si>
  <si>
    <t>(Cost of training 35 auditors @ (US$ 90) per auditor X 3 days plus transport $840.00)</t>
  </si>
  <si>
    <t xml:space="preserve">      </t>
  </si>
  <si>
    <t>Procure   three 4 x 4 double cab  project vehicles ( to support Parliament programme activities )</t>
  </si>
  <si>
    <t>2 Officers x $777.50 per course (3  Semesters) x project mamangement course)</t>
  </si>
  <si>
    <t>(Toners for printers $14 530, 46 laptop bags@ $20 each ($920), 46 mouse @ $10 each, HPD cables $5 each copier machines ($100) plus repairs $3000 )</t>
  </si>
  <si>
    <t>(Consultant hired for 20 days @ $750 a day)</t>
  </si>
  <si>
    <t>(2 exchange visits X 5 Officers each, undertaken to other Parliaments x $250 per day per person X 4 days plus airfares $470 per each person )</t>
  </si>
  <si>
    <t>Antivirus software -200 users @ about $8.50 a user</t>
  </si>
  <si>
    <t>(46 laptops @ $858.7each plus clearing costs  )</t>
  </si>
  <si>
    <t xml:space="preserve">(One consultant hired @$400 for 20 days) </t>
  </si>
  <si>
    <t>year</t>
  </si>
  <si>
    <t xml:space="preserve"> ( One x Three day workshop of 45 Officers each x $195 a day plus transport $2600 plus 2 consultancy  @ 400 a day for 4 days)</t>
  </si>
  <si>
    <t xml:space="preserve">(2 X 3 day workshop of 150 Officers x $195 per day accommodation, meals &amp; allowances plus  fuel -POZ buses 2 X $420 per bus plus 3 consultancy $7290 </t>
  </si>
  <si>
    <t>(10 provinces visited for 4 days per province by 6 Officers @ $170 accommodation &amp; meals &amp; allowances per Officer a day  plus fuel for 2 x POZ project vehicles outside Hre $3700.)</t>
  </si>
  <si>
    <t>(Consultant @ $400 a day for 30 days plus $100)</t>
  </si>
  <si>
    <t xml:space="preserve"> (10 Outreaches x 6 Officers x US$170 x 5 days each province plus POZ vehicle fuel $3 000 plus promotional materials $6 100  )  </t>
  </si>
  <si>
    <t>(45 Officers X $195 X 3 days plus 2 x Consult $400 x 3 days plus transport $ 5575)</t>
  </si>
  <si>
    <t>(2 Officers X $14 000 fees each including DSA and airfares $450 X 2 for three weeks - SA</t>
  </si>
  <si>
    <t xml:space="preserve">  (2 Officers @ $155 fees each X 5 days ) </t>
  </si>
  <si>
    <t xml:space="preserve"> (15 drivers and Officers x $10.94 fees per person X 5 days) </t>
  </si>
  <si>
    <t>Two  ICT Officers to attend refresher course on Linux Administration, CISCO and Web design and online marketing</t>
  </si>
  <si>
    <t>(Two Officers @ $3450 training fees and allowances)</t>
  </si>
  <si>
    <t>Refund</t>
  </si>
  <si>
    <t>Hold a five re-sensitization workshop Quality Management Systems (QMS) including Balance scorecards (BSCs) for all Officers of Parliament}</t>
  </si>
  <si>
    <t>(260 Officers X $195 X 3 days plus 2 consultants ($7500)  per consultant for 5 days plus transport $3000 x5)</t>
  </si>
  <si>
    <t>(6 Officers x $56.25 per trainee fees X 4 days )</t>
  </si>
  <si>
    <t xml:space="preserve"> (15 Officers @ $160 training fees X 3 days plus transport $1 000)</t>
  </si>
  <si>
    <t xml:space="preserve"> (2 X 45 Officers x $195 x 4 days plus facilitators US$2900 and  transport $3500 X 2 buses</t>
  </si>
  <si>
    <t xml:space="preserve">Convene a three day  Gender mainstreaming and gender based violence  training workshop for POZ Staff  </t>
  </si>
  <si>
    <t xml:space="preserve"> (1 X 45 Officers x $170 x 2 days  plus transport $2000 X 1 ) plus consultants $1400 </t>
  </si>
  <si>
    <t>(2 days workshops X 2 Committees (55) x $195 a day accommodation , meals &amp; allowances plus Consultants $8 850 plus  tansport hired US$3500)</t>
  </si>
  <si>
    <t xml:space="preserve">(2 days workshops X  Committees (50) x $195 a day accommodation , meals &amp; allowances plus tansport hired US$2000) </t>
  </si>
  <si>
    <t xml:space="preserve"> ( 3 days workshop for 30 ZWPC  members x $195 accommodation, meals and allowances X 3 days plus   POZ  transport $2150 )  </t>
  </si>
  <si>
    <t>6 participants of the ZWPC attend the CSW Annual Women's conference in New York for 2 years</t>
  </si>
  <si>
    <t xml:space="preserve"> (12 MPs &amp; staff X $337 per day DSA per participant X 15 days plus airfares$ 2 000 per delegate for 2 years)</t>
  </si>
  <si>
    <t xml:space="preserve">Convene one capacity building workshops for 55 ZWPC members plus support staff on political/economic empowerment including ZIMASSET and legislative analysis </t>
  </si>
  <si>
    <t xml:space="preserve"> (120 participants X $70 X 3 days)</t>
  </si>
  <si>
    <t xml:space="preserve">                                                                                                                                                                    60 ZWPC members including staff X $195 accommodation, meals and allowances X 3 days plus 2 consultancy @ $400 X 3 days plus hired transport $3000 for bus )</t>
  </si>
  <si>
    <t>Year3</t>
  </si>
  <si>
    <t>SKR 15 000 000</t>
  </si>
  <si>
    <t>EURO 1 800 000</t>
  </si>
  <si>
    <t xml:space="preserve">Engage a consultant to carry out an independent review of the alignment of laws </t>
  </si>
  <si>
    <t>Hold two - one day consultative meetings between Parliament and counterparts from  the Ministry of Justice, Legal and Parliamentary Affairs to review non-compliant laws.</t>
  </si>
  <si>
    <t>(2 meetings X36 Participants @ $20 per person conference package  )</t>
  </si>
  <si>
    <t xml:space="preserve">1 Consultant hired at $500 for 10 days </t>
  </si>
  <si>
    <t>1.1.2.1</t>
  </si>
  <si>
    <t>Convene Two LCC meetings of Committee Chairpersons, Senior Managers, Presiding Officers and Chief Whips.</t>
  </si>
  <si>
    <t>(2 Student interns @$400 per month for 41 months)</t>
  </si>
  <si>
    <t>Train 26 Thematic and Portfolio Committees of the 9th Parliament in sector specific  legislative and policy analysis in Harare</t>
  </si>
  <si>
    <t>Hold  Pre-Budget consultations on the 2019 National Budget by the Joint SDG Committee with other Committees</t>
  </si>
  <si>
    <t xml:space="preserve">Conduct SDG budget analysis for the 2019 National Budget </t>
  </si>
  <si>
    <t xml:space="preserve">2.1.8.1 </t>
  </si>
  <si>
    <t xml:space="preserve">Conduct SDG assessment of Parliament and develop SDG Implementation/Action plan. </t>
  </si>
  <si>
    <t>Consultant @$500 per day for 10 days</t>
  </si>
  <si>
    <t>2.1.8.2</t>
  </si>
  <si>
    <t>Collaborate with other SADC Parliaments to produce best practices handbook on mainstreaming SDG in Parliamentary development (follow up from Zim/Zam Seminar)</t>
  </si>
  <si>
    <t>Production cost of 400 handbooks &amp; flashdisks @ $10 each</t>
  </si>
  <si>
    <t>2.1.8.3</t>
  </si>
  <si>
    <t>Follow up on recommendations on reports tabled in Parliament</t>
  </si>
  <si>
    <t>Staff - No costs</t>
  </si>
  <si>
    <t>2.1.8.4</t>
  </si>
  <si>
    <t xml:space="preserve">Develop Reporting Compliance dashboard </t>
  </si>
  <si>
    <t>Induct new Ministers and Deputy ministers on the  business of Parliament</t>
  </si>
  <si>
    <t>Develop human resources strategy</t>
  </si>
  <si>
    <t>Consultant @ $500 per day for 10 days</t>
  </si>
  <si>
    <t>Train 50 Auditors on Public Private Partnership auditing systems in Harare</t>
  </si>
  <si>
    <t>2.4.10.1</t>
  </si>
  <si>
    <t>Develop and disseminate publicity materials &amp; infographics of Audit findings and recommendations - Audit Reports</t>
  </si>
  <si>
    <t xml:space="preserve"> Engage a translator to  Translate Office of Auditor General (OAG) promotional materials  into two (2) venarcular languages </t>
  </si>
  <si>
    <t>Consultant @ $500 per day for 5 days</t>
  </si>
  <si>
    <t>PPC salaries (US$6550 x 46 months )</t>
  </si>
  <si>
    <t>Stipends for interns (US$400 x 36 months )X 2 plus $374</t>
  </si>
  <si>
    <t>4.1.11.6.1</t>
  </si>
  <si>
    <t>Review the 8th Parliament Institutional Strategic Plan (ISP) and design the 9th Parliament ISP.</t>
  </si>
  <si>
    <t>4.1.11.8</t>
  </si>
  <si>
    <t>Design, edit, printing and publishing PSP programme results.</t>
  </si>
  <si>
    <t>UNDP/POZ/AUDITORS</t>
  </si>
  <si>
    <t>1 000 reports and flash disks (Evaluation reports + Programme reports )</t>
  </si>
  <si>
    <t>UNDP  GMS costs</t>
  </si>
  <si>
    <t xml:space="preserve">Hold three days Annual Corporate planning workshop for Senior POZ Officers </t>
  </si>
  <si>
    <t xml:space="preserve">Conduct Statutory ISO Surveillance audits for quality assurances - QMS programme </t>
  </si>
  <si>
    <t>4.2.11.2</t>
  </si>
  <si>
    <t>Conduct one statutory Management Review meeting for 60 managers and QMS members as required by the ISO Standard</t>
  </si>
  <si>
    <t>60 participants X $40 X 1 day</t>
  </si>
  <si>
    <t>Consolidate, editing and design documentation on results</t>
  </si>
  <si>
    <t>No cost - staff</t>
  </si>
  <si>
    <t>4.2.11.3.1</t>
  </si>
  <si>
    <t xml:space="preserve">Conduct Two Speaker's Public Outreach Meetings with the Electorate on SDGs and the business of Parliament  in Partnership with SAPST (4) </t>
  </si>
  <si>
    <t>4.3.6.2</t>
  </si>
  <si>
    <t>Disseminate Parliamentary information for public interaction through the use of Youtube, twitter, and other ICT platforms.</t>
  </si>
  <si>
    <t>4.3.6.1.3</t>
  </si>
  <si>
    <t>Design an online information portal for members of Parliament and staff including capacitating  a Website Master Admnistrator in maintenance and management of protal</t>
  </si>
  <si>
    <t>Training costs for two ICT Oficers @ $3 000 per person</t>
  </si>
  <si>
    <t>Quarter</t>
  </si>
  <si>
    <t>4.3.14.1</t>
  </si>
  <si>
    <t>4.3.21</t>
  </si>
  <si>
    <t>Train a total of 60 POZ and UNDP Officers working with the PSP project on SDG and  Results Based Monitoring and Evaluation and compliance issues on UNDP, EU and SIDA project requirements</t>
  </si>
  <si>
    <t>5.1.3.1</t>
  </si>
  <si>
    <t>5.1.3.2</t>
  </si>
  <si>
    <t>Sensitise MPs and  Staff on Gender policy and strategy</t>
  </si>
  <si>
    <t>Collaborate with Zimbabwe Gender Commission and CSOs for the lobbying of the 50/50 gender parity implementation</t>
  </si>
  <si>
    <t>5.2.4.1</t>
  </si>
  <si>
    <t>5.2.7</t>
  </si>
  <si>
    <t>Induction of 160, 9th Parliament Women MPs on the business of Parliament</t>
  </si>
  <si>
    <t xml:space="preserve">Train 26 Parliamentary Liaison Officers on Parliament business </t>
  </si>
  <si>
    <t>*Design, edit and copy 6 x Baseline Survey reports</t>
  </si>
  <si>
    <t>Procure updated International Financial Reporting and Auditing Standards</t>
  </si>
  <si>
    <t>Procurement of 30  IFRAS standards @ $180</t>
  </si>
  <si>
    <t>Convene project management and coordination meetings (Steering Committee, Board and Partners meetings)</t>
  </si>
  <si>
    <t>Procure 2 printers for the Project Coordinator's Office and Project Accounts Office</t>
  </si>
  <si>
    <t>Two - 4 in one printers @$5000 each</t>
  </si>
  <si>
    <t>4.1.9.1</t>
  </si>
  <si>
    <t>Bank/Transaction charges</t>
  </si>
  <si>
    <t>Develop Parliament Gender policy and implementation strategy</t>
  </si>
  <si>
    <t>Hold a half day validation workshop of the draft Gender policy</t>
  </si>
  <si>
    <t>US$1 500 000</t>
  </si>
  <si>
    <t>(12 public hearings x 30 MPs and staff per Committee x 6 days x $170 per MP  plus hired transport $40 000 a Committee plus adverst $24281.64</t>
  </si>
  <si>
    <t>Two consultants @$600 per day for 20 days plus allowances$17000</t>
  </si>
  <si>
    <t xml:space="preserve">160 members and staff @ $30 conference package </t>
  </si>
  <si>
    <t xml:space="preserve">200 MPs and POZ Officers @ $30 for lunch and refreshments X 2 days  </t>
  </si>
  <si>
    <t>60 Officers @ $30 conference package X 2 days - Local</t>
  </si>
  <si>
    <t>PPA salaries ( $4520 x 46 months plus advert charges $1 740)</t>
  </si>
  <si>
    <t>(100 MPs and Staff X $30 conference package X1 day plus fuel for POZ bus $400</t>
  </si>
  <si>
    <t xml:space="preserve"> (10 Committees X 3 day Workshops x 35 participants x $185 accommodation &amp; meals &amp; allowances plus 2  consultants per Committee @ $400*2*3 days plus hired transport $6970)</t>
  </si>
  <si>
    <t>1.1.4.1</t>
  </si>
  <si>
    <t>EUROs</t>
  </si>
  <si>
    <t>UNDP/POZ/CONSULT</t>
  </si>
  <si>
    <t>UNDP/POZ/EXE</t>
  </si>
  <si>
    <t>UNDP/BANK</t>
  </si>
  <si>
    <t>UNDP/DONORS</t>
  </si>
  <si>
    <t>Induct of 160, 9th Parliament Women MPs on the business of Parliament</t>
  </si>
  <si>
    <t>Hold a Leadership Transformation training workshop for 50 Gender Committee and  ZWPC members from27-30 November 2015.</t>
  </si>
  <si>
    <t xml:space="preserve">Hold two day  Gender mainstreaming and gender based violence training for Committees </t>
  </si>
  <si>
    <t xml:space="preserve">Conduct Occupational Health Training for Parliament of Zimbabwe Staff </t>
  </si>
  <si>
    <t>45 Officers undertake Records planning and management training course - manual and electronic</t>
  </si>
  <si>
    <t xml:space="preserve">Hold exhibitions at the International Trade Fair (ZITF) in Bulawayo and the Harare Agricultural Show (HAS) in Harare and ISO Certification promotion    </t>
  </si>
  <si>
    <t>UNDP engage - Graduate Intern  for the project -stipends and related costs</t>
  </si>
  <si>
    <t>Bank/Transaction charged</t>
  </si>
  <si>
    <t>Pay Insurance cover for three new project vehicles (3)</t>
  </si>
  <si>
    <t xml:space="preserve">Undergo project management training  (planning, design, programme financial management, monitoring and evaluation, reporting and closure  </t>
  </si>
  <si>
    <t xml:space="preserve">Engage -One Graduate Accounts Interns for PCU (1) </t>
  </si>
  <si>
    <t>Pay PCU staff costs for the Parliament Programme Coordinator (PPC)</t>
  </si>
  <si>
    <t>Pay PCU staff costs for Programme Accountant (PPA) plus recruitment costs</t>
  </si>
  <si>
    <t xml:space="preserve"> Train 3 Committees on legislative and policy analysis  </t>
  </si>
  <si>
    <t>Acquire library books and journals for Parliament library</t>
  </si>
  <si>
    <t>*Design and Print MPs charts and Parliament notebooks</t>
  </si>
  <si>
    <t xml:space="preserve">Train 42 Parliamentary Liaison Officers on Parliament business </t>
  </si>
  <si>
    <t xml:space="preserve">Hold 12 public  hearings on proposed legislation </t>
  </si>
  <si>
    <t>TOTAL BUDGET 2015-2018          (US$)</t>
  </si>
  <si>
    <t>TOTAL BUDGET 2015-2018         (EURO)</t>
  </si>
  <si>
    <t>(Workshop of 2 X  120 participants x $104 x 3 days plus hired bus for  $2930 )</t>
  </si>
  <si>
    <t xml:space="preserve"> (3 Committees X 3 day Workshops x 30 participants x $195 accommodation &amp; meals plus three consultants($3600) plus hired transport  $2890)</t>
  </si>
  <si>
    <t>Two Consultants @ $500 X 5 days</t>
  </si>
  <si>
    <t>2.4.10.2</t>
  </si>
  <si>
    <t>2.4.10.3</t>
  </si>
  <si>
    <t xml:space="preserve">One consultant  @ $500 per day X 10 days plus printing of report </t>
  </si>
  <si>
    <t>SAZ ISO maintenance costs as per contract $4100</t>
  </si>
  <si>
    <t>Convene bi-monthly LCC meetings of the Attorney General on the alignment of laws.</t>
  </si>
  <si>
    <t>( One X 3 day Workshop for 15 PLC members @ $195 plus 4 consultants @ $400 per day plus  POZ bus $585)</t>
  </si>
  <si>
    <t xml:space="preserve"> (Printing, designing and editing costs - 2 500 copies @ $7 a copy)</t>
  </si>
  <si>
    <t xml:space="preserve"> (19 Experts X $400 x 1 day each including preparation for 3 years)($5540 ) </t>
  </si>
  <si>
    <t>(45 Auditors for 5 days for 3 years X $20  a day and transport $352.00)</t>
  </si>
  <si>
    <t xml:space="preserve">2 X (260 Audit staff @ $90 per person X 2 days) plus consultancy fees $4 000 per workshop plus transport $5 170  </t>
  </si>
  <si>
    <t xml:space="preserve">(10 Auditors @ $40  per day DSA for 30 days plus One consultant x $400 X 30 days plus transport $710 fuel per day)  </t>
  </si>
  <si>
    <t>( 2 Exchange visits to two countries by 6 Auditors per country @ US$250 per person per day X 5 days per delegation and airfares of $800 per delegation and $722 local transport)</t>
  </si>
  <si>
    <t>70 auditors @ $40 per day for venue &amp; refreshments plus consultant $1 120</t>
  </si>
  <si>
    <t>(8 PSP Board meetings and 4 Steering Committee Meetings and 4 Partners meeting per year  with average of 15 Stakeholders @ $20 per participant in Harare over three years)</t>
  </si>
  <si>
    <t xml:space="preserve"> (one x 4x4 double cab vehicles @ $21 896.67 each </t>
  </si>
  <si>
    <t>(Annual licence renewal $ 750 + annual upgrade $1000 + Cost of consultancy services and training $2050) X 4 years</t>
  </si>
  <si>
    <t>Bull bars, canopies,hitch  $25750</t>
  </si>
  <si>
    <t>50 MP and stakeholders @ $20.00 X 2 days</t>
  </si>
  <si>
    <t xml:space="preserve">One consultant X $500 X 10 days plus workshop cost for 45 Managers @ $35 per conference package X 2 days plus reports produced including audio &amp; visuals $8000 </t>
  </si>
  <si>
    <t>(Audit firm to undertake PSP Audit $4 500 per year for  4 years</t>
  </si>
  <si>
    <t xml:space="preserve"> (44 Officers X US$195 X 3 days)+(Two Consultants X $400 X 2 days ) plus POZ bus fuel of $845)</t>
  </si>
  <si>
    <t>( 12 Presiding Officers &amp; Chairperson's panel including staff  x $250 x 5 days plus airfares to Regional Parliaments $5000)</t>
  </si>
  <si>
    <t xml:space="preserve">  (6 Shows x 12 Officers x US$170 Accommodation and meals x 7 days plus  Stand desgn &amp; dev $28 000 plus fuel for POZ  transport 3yrs X $420  &amp; ISO promotional materials $15460)</t>
  </si>
  <si>
    <t>15 Officers @ $170 DSA allowances on 2 Outreachs of 3 days each</t>
  </si>
  <si>
    <t xml:space="preserve">(2 Officers @ $250 tuition plus  DSA $250 each for 8 days plus transport of $400) </t>
  </si>
  <si>
    <t>Printing cost 400 copies x $6 plus launching expenses $2 400)</t>
  </si>
  <si>
    <t>(20 members of the ZWPC undertake an exchange visit to 2 Regional countries on benchmark visits. (20 delegates X $250  X 5 days plus Airfares of US$660 per delegate)</t>
  </si>
  <si>
    <t xml:space="preserve"> (55 members including staff  X $195 accommodation , meals and allowances X 3 days plus 3 Consultants x $400 x 3 days  plus transport $3050)</t>
  </si>
  <si>
    <t xml:space="preserve">Train 26 Parliamentary Liaison Officers (PLO) on Parliament business </t>
  </si>
  <si>
    <t xml:space="preserve">Support  MPs and staff  to attend  a one day annual Pre- Budget briefing  for MPs  and stakeholders for the National budgets  </t>
  </si>
  <si>
    <t>To enable implementation of IT Audit</t>
  </si>
  <si>
    <t>To improve audit skills and knowledge</t>
  </si>
  <si>
    <t>To share Audit experience, challenges and opportunities for improving on complience,</t>
  </si>
  <si>
    <t>Standard to provide a guide in auditing thereby improve auditing standards and quality output.</t>
  </si>
  <si>
    <t>Projector to improve training capacity of the Auditor General</t>
  </si>
  <si>
    <t>Vehicles to improve capacity of the Auditor General</t>
  </si>
  <si>
    <t xml:space="preserve">Manual to improve Auditing capacity of the Auditor General </t>
  </si>
  <si>
    <t>Documented Audit findings and recommenadtions to be availed to the public</t>
  </si>
  <si>
    <t>Provide a simplified audit report in various forms to enable the public to appreciate the reports.</t>
  </si>
  <si>
    <t>The AGO's auditors need to be trained on the Customised Regularity Audit manual to familiarise them on the use of the manual to enhance knowledge on the use of CRAM.</t>
  </si>
  <si>
    <t>Auditors need to capacitate them to adhere to current stock audit system in line with international standards.</t>
  </si>
  <si>
    <t>Human resources need to put in place a long term human resource plan to strengthen the capacity of the Audit General in auditing.</t>
  </si>
  <si>
    <t>Enable auditors to audit public private partnerships.</t>
  </si>
  <si>
    <t>Compile 2016  and 2017 Auditor Genearal's (AG's) Annual Audit Reports</t>
  </si>
  <si>
    <t>Two consultant @ $400 X 10 days plus printing costs $2600</t>
  </si>
  <si>
    <t>To promote visibility of the Auditor General and its stakeholder and service available to the public</t>
  </si>
  <si>
    <t>Consolidate all previous report and produce a consolidated report as documentation of results</t>
  </si>
  <si>
    <t>Produce project workplans , financial reports and manage disbursement of project funds,</t>
  </si>
  <si>
    <t>Coordinate project management processes to ensure comliance to stakeholders requirements</t>
  </si>
  <si>
    <t xml:space="preserve">PCU staff costs - 1 Graduate Accounts Intern for PCU (1) </t>
  </si>
  <si>
    <t>Assists Programme Accountant on Office administration, project documentation, disbursements, production of  project accounts.</t>
  </si>
  <si>
    <t xml:space="preserve">Acquire project vehicles to improve project administration-transport requirements. </t>
  </si>
  <si>
    <t>Printers needed to augument printing requirements in the Programme Coordination Unit</t>
  </si>
  <si>
    <t>Fit vehicles with necessary accessories which were not fitted when the vehicles were purchased.</t>
  </si>
  <si>
    <t>Mid-term review necessary to measure progress to date againstexpected results</t>
  </si>
  <si>
    <t xml:space="preserve">Monitoring required to enable observation of implemented activities and facilitate collection of statistical data on activities implemented </t>
  </si>
  <si>
    <t>Meeting mearnt to clarify TOR for project review and evaluation</t>
  </si>
  <si>
    <t>Produce end of project evaluation report to assess impact of the project intervention on Parliament business.</t>
  </si>
  <si>
    <t>Consolidate lessons learnt  for future programme</t>
  </si>
  <si>
    <t xml:space="preserve">Audit to monitor implementation compliance to workplans and policy                                                                                                                                                                                                                                            </t>
  </si>
  <si>
    <t>Publicity of programme and its stakeholders</t>
  </si>
  <si>
    <t>To cover project vehicle in case of accident</t>
  </si>
  <si>
    <t xml:space="preserve">Bank charges for payments  made through the bank.                                                                                                                                                                                                                                                                                                                                                                                                                                                                                                                                                                                                                                                                                                                                                                                                                                                                                                                                                                                                                                                                                                                                   </t>
  </si>
  <si>
    <t>Stipends for graduate interns who work on the project at the UNDP</t>
  </si>
  <si>
    <t>Heavy duty printer for use by the Hansard and Commitees</t>
  </si>
  <si>
    <t>Costs related to the implementation of the Quality management system to maintain the QMS</t>
  </si>
  <si>
    <t>To review QMS plans of action</t>
  </si>
  <si>
    <t>To give orientation to staff on the requirements of ISO 2008 - 2015</t>
  </si>
  <si>
    <t>Consolidate, edit and design documentation on results</t>
  </si>
  <si>
    <t>Publicity of programme results</t>
  </si>
  <si>
    <t>Come up with a human resources development strategy for implementation</t>
  </si>
  <si>
    <t>POZ Website need to be developed in line with developments regional and worldwide.</t>
  </si>
  <si>
    <t>Develop a Hansard manual for easy reference by Hansard staff</t>
  </si>
  <si>
    <t>Report on Parliament capacity to  implementation  ICT policy</t>
  </si>
  <si>
    <t>Publicity of Parliament busines to the public.</t>
  </si>
  <si>
    <t>ISO requirement to carry out a customer satisfaction surveys in order to improve service delivery.</t>
  </si>
  <si>
    <t>Document results of outreach programmes</t>
  </si>
  <si>
    <t>Enable public interface with the head of Parliament to review implementation of SDG programmes by various ministries.</t>
  </si>
  <si>
    <t>Increase accessibility information about day to day Parliament business</t>
  </si>
  <si>
    <t>Increase accessibility of information on-line about the day to day Parliament business</t>
  </si>
  <si>
    <t>Sensitise staff of Parliament on the 2008 - 2015 ISO Certification requirements</t>
  </si>
  <si>
    <t>Capacitate POZ staff on M&amp;E and SDG issues</t>
  </si>
  <si>
    <t xml:space="preserve">Train POZ staff on occupational health requirements </t>
  </si>
  <si>
    <t>Parliament and MPs to validate the draft Gender policy</t>
  </si>
  <si>
    <t>Sensitise Parliament Staff and MPs on  the Parliament Gender policy and strategy</t>
  </si>
  <si>
    <t xml:space="preserve">Enhance leadership transformation skills in POZ management. </t>
  </si>
  <si>
    <t xml:space="preserve">US$
</t>
  </si>
  <si>
    <t>PSP REVISED NO COST EXTENSION WORKPLAN AND BUDGET 2015 - 2018</t>
  </si>
  <si>
    <t>(2015-2018)</t>
  </si>
  <si>
    <t>REVISED PSP NO COST EXTENSION   Workplan and Budget 2015 - 2018</t>
  </si>
  <si>
    <t xml:space="preserve">00094261 - Multi Donor Support Programme for the Parliament and Office of the Auditor General of Zimbabwe (2015 - 2018)  </t>
  </si>
  <si>
    <t xml:space="preserve">Programme period:  November 2015 - December 2018  </t>
  </si>
  <si>
    <t>31 December 2018</t>
  </si>
  <si>
    <t>17 March  2015</t>
  </si>
  <si>
    <t>GRAND TOTAL INCLUDING GOVT CONTRIBUTIONS</t>
  </si>
  <si>
    <t>GOVT</t>
  </si>
  <si>
    <t>Contributions per Dev Partner(Busket Funding)</t>
  </si>
  <si>
    <t>Contributions per Dev Partner (Busket Funding)</t>
  </si>
  <si>
    <t>YEAR</t>
  </si>
  <si>
    <t>2.4.3.2</t>
  </si>
  <si>
    <t>2.4.3.3</t>
  </si>
  <si>
    <t>2.4.3.4</t>
  </si>
  <si>
    <t xml:space="preserve">2.4.3.5 </t>
  </si>
  <si>
    <t>2.4.3.6</t>
  </si>
  <si>
    <t xml:space="preserve">Conduct a mid-term review of Multi-donor Parliament Support Programme 2014 - 2017  </t>
  </si>
  <si>
    <t xml:space="preserve">Conduct ISP  End of Project evaluation of Multi-donor Parliament Support Programme 2014 - 2017  </t>
  </si>
  <si>
    <t>(Two consultants @$600 per day for 20 days  and allowances of $10 000 and Advertisements $5000)</t>
  </si>
  <si>
    <t xml:space="preserve"> Monitor and evaluate the PSP programme - UNDP and POZ Officers costs.</t>
  </si>
  <si>
    <t xml:space="preserve">Conduct  End of Project evaluation of the Multi-donor Parliament Support Programme 2015 - 2018  </t>
  </si>
  <si>
    <t>Monitor and evaluate the PSP programme implementation - UNDP and POZ Officers costs.</t>
  </si>
  <si>
    <t xml:space="preserve">42 PLOs and Committee Clerks @ $35 X 2 days </t>
  </si>
  <si>
    <t>Compile a compedium of service delivery and management of public resources reports presented in Parliament for the 2016</t>
  </si>
  <si>
    <t>Hold a five day re-sensitization workshop Quality Management Systems (QMS) including Balance scorecards (BSCs) for all Officers of Parliament}</t>
  </si>
  <si>
    <t>(60 Members of the Committee on SDGs to undertake  public hearings on the 2019 Budget (60 MPs x $170 x 6 days plus fuel for Parliament Bus $1800 )</t>
  </si>
  <si>
    <t>50 Auditors @ $30 conference package plus Consultants @ $500 a day for 10 days-local</t>
  </si>
  <si>
    <t>6 UNDP and POZ Project Officers DSA $170 per day X 13 visits per year over 4 years plus fuel ($3453)</t>
  </si>
  <si>
    <t xml:space="preserve"> (50 Officers X US$40 conference package X 3 days plus transport $725)</t>
  </si>
  <si>
    <t>Advert-print media $6000, Broadcasting $6500, Banners &amp; Flyers $5400, Tent &amp; Decoration $7500,entertainment $6 000 and refreshment for staff/VIP $4 000 and  promotional materials $19900</t>
  </si>
  <si>
    <t xml:space="preserve">2 X 160 MPs and POZ Officers @ $30 for lunch $4000 plus consultants and refreshments transport $400  </t>
  </si>
  <si>
    <t>160 MPs and staff @ $30 conference package plus Consultants $1600</t>
  </si>
  <si>
    <t>Output 4.2: Technical capacity for the  professional functioning of Parliament  enhanced and internal Parliamentary Service delivery, systems and processes enhanced.</t>
  </si>
  <si>
    <r>
      <t xml:space="preserve">Baseline:  </t>
    </r>
    <r>
      <rPr>
        <sz val="16"/>
        <rFont val="Arial"/>
        <family val="2"/>
      </rPr>
      <t>Draft ICT strategy.  2011 baseline surveys and Current levels of service delivery</t>
    </r>
  </si>
  <si>
    <r>
      <t xml:space="preserve">Output Targets: </t>
    </r>
    <r>
      <rPr>
        <sz val="16"/>
        <rFont val="Arial"/>
        <family val="2"/>
      </rPr>
      <t>Three modules developed and rolled out /Comprehensive skills audit report adopted and implemented/ICT Strategy approved and implemented/All technical experts and advisors recruited as and when required/All ICT equipment procured/Assessment of capacity development programmes completed/200 Officers sensitised in applying skill in QMS/Functional QMS system   27 Interns appointed to support research work of legislators/35 Committee Clerks, Researchers and other staff trained in report writing/30 Hansard reporters trained in advanced Hansard reporting/ISO Certificate retained/Constituency Informatics data base reviewed, updated and disseminated/Outreach and exibition programmes held in all ten provinces/Website upgraded/250 staff members trained in ISO Quality Management system/20 Internal systems auditors trained/10 route cause analysis committee members trained/40 Quality Assurance management committee members trained.</t>
    </r>
  </si>
  <si>
    <r>
      <t xml:space="preserve">Output Indicators: </t>
    </r>
    <r>
      <rPr>
        <sz val="16"/>
        <rFont val="Arial"/>
        <family val="2"/>
      </rPr>
      <t xml:space="preserve"> ICT strategy operationalised / Two Exchange visits by Presiding Officers and Chairperson's panel to similar regional and or international organisations /  ICT equipment  and associated software procured. / Two Exchange visits by 10 POZ Officers to similar regional and or international organisations / Human Resources strategy / #number of modules developed and rolled out / #number of technical experts recruited./ #number of Officers sensitised in QMS / Functional QMS system / Three modules developed and rolled out / Comprehensive skills audit report adopted and implemented /  ICT Strategy approved and implemented / All technical experts and advisors recruited as and when required / All ICT equipment procured / Assessment of capacity development programmes completed / 200 Officers sensitised in applying skill in QMS / Functional QMS system /By Q4 2014, all Committee Clerks, researchers and other relevant staff trained in report-writing/By Q4 2014, 27 short-term research interns – including at least three with gender expertise – recruited/By Q4 2014, advanced Hansard- training completed/100% of Hansards produced and uploaded on the website within four hours of adjournment of the house. /By Q2 2015- 5 ISO re-sensitization seminars conducted and officers able to maintain QMS /ISO Audit reports produced on agreed schedule/ISO certification maintained/By Q2 -2015, 100% functionalConstituency Inforamtics data base; /By Q1 2015, all equipment related to website upgrade procured and website upgraded in time for the new session of Parliament in 2015./By Q1 2015, all equipment related to website upgrade procured and website upgraded in time for the new session of Parliament in 2015./Equipment and software for library automation procured and installed </t>
    </r>
  </si>
  <si>
    <t>(2 Consultancy firms @ $803 x 4 years</t>
  </si>
  <si>
    <t xml:space="preserve"> (50 Officers x $195 x 3 days x 4 years  plus transport $5000 X 4 plus promotional materials $8 850)</t>
  </si>
  <si>
    <t>(1 x Consult x$10 000 per year annual fees plus innovations $1800 )</t>
  </si>
  <si>
    <t>14  Portfolio and Thematic Committees carry out public hearings in accessible  provinces on service delivery, and use and management of public resources</t>
  </si>
  <si>
    <t>2 reports of 200 copies each x $5 per copy</t>
  </si>
  <si>
    <t>One Expert for One day Seminar x $652 per expert X 1 days</t>
  </si>
  <si>
    <t>(6 Committees x 5 days public hearings 25 member Committees including staff  @ $170 accommodation, meals and allowances p/member plus hired  bus outside Harare ( $11300)</t>
  </si>
  <si>
    <t>Std Chartered bank charges @$8 055 per year</t>
  </si>
  <si>
    <t>30 Officers 5 days workshop @ $30 per person per day plus printing of report $15325</t>
  </si>
  <si>
    <t xml:space="preserve"> (370 MPs &amp; Staff @ $30 conference package per participant for 4 days plus  Consultants $ 10000 plus transport $6 000 </t>
  </si>
  <si>
    <t>Two X 44 participants @ $30 conference package over 2 days  - local</t>
  </si>
  <si>
    <t>POZ  self funding</t>
  </si>
  <si>
    <t xml:space="preserve"> (26 Committees of 30 members each X 2 day training Workshops @ $30 conference package per participants plus Consultants $7800 plus  Parliament transport </t>
  </si>
  <si>
    <t>(6 LCC Meetings of  55 participants x $25 conference package and transport a day )</t>
  </si>
  <si>
    <t>Two Interns @ $1276 a month for 24 months</t>
  </si>
  <si>
    <t>(Two  workshop X 40 people x $30 X 2 days plus transport of $600)</t>
  </si>
  <si>
    <t xml:space="preserve">Hold 3 public consultations on gazetted Bills (Electoral Bill, Child Justice Bill, Companies Amendment Bill, Marriages Bill, Disaster Risk Management amendment Bill, Urban  councils bill, disabled persons bill) </t>
  </si>
  <si>
    <t>3 X public hearing x 28 MPs and staff per Committee x 5 days x $170 Accommodation &amp; allowances per MP, plus fuel for Parliament transport $2800 )</t>
  </si>
  <si>
    <t xml:space="preserve">Hire one expert per year to assist the Committee on Finance to analyse proposed draft National budgets </t>
  </si>
  <si>
    <t xml:space="preserve">Conduct one week Orientation training of 370  elected  9th Parliament MPs on Parliament business </t>
  </si>
  <si>
    <t>Review and launch  the Auditor General's strategic plan</t>
  </si>
  <si>
    <t>12 Presiding Officers and Chairpersons' panel and staff undertake  Learning exchange visits to regional parliaments</t>
  </si>
  <si>
    <t>Train 45 Committee Clerks, researchers and other relevant officers   in report-writing</t>
  </si>
  <si>
    <t xml:space="preserve"> (40 Officers x $65 DSA allowances  &amp; incidentals plus fuel $400</t>
  </si>
  <si>
    <t>14  Portfolio and Thematic Committees to carry out public hearings in accessible  provinces on service delivery, and use and management of public resources</t>
  </si>
  <si>
    <t>POZ  funding</t>
  </si>
  <si>
    <t>Hold a Leadership Transformation training workshop for 50 Gender Committee and  ZWPC members from 27-30 November 2015.</t>
  </si>
  <si>
    <t>Total as per the Budget Items (US$)using the market rates</t>
  </si>
  <si>
    <t>EURO1=US$1.1317</t>
  </si>
  <si>
    <t>2.2,6</t>
  </si>
  <si>
    <t>Support  the Parliament of Zimbabwe to host the Southern African Development Community (SADC  PF) 4th Plenary Assembly</t>
  </si>
  <si>
    <t>2.3.3</t>
  </si>
  <si>
    <t>Purchase of 1 000 books ($23800)</t>
  </si>
  <si>
    <t>(14 public hearings by 25 MPs x 5 days each @ $170 a day plus venue fees $1403.33 and hired transport  @ $2600 per bus per Committee)</t>
  </si>
  <si>
    <t>POZ staff - no cost</t>
  </si>
  <si>
    <t xml:space="preserve"> (10 Committees X 3 day Workshops x 35 participants x $185 accommodation &amp; meals &amp; allowances plus 2  consultants per Committee @ $400*2*3 days plus hired transport $3170)</t>
  </si>
  <si>
    <t>2.2.3.3</t>
  </si>
  <si>
    <t>2.2.3.5</t>
  </si>
  <si>
    <t xml:space="preserve">2 X 160 MPs and POZ Officers @ $30 for lunch, $4000 consultants fees and transport $400  </t>
  </si>
  <si>
    <t xml:space="preserve">2 X 160 MPs and POZ Officers @ $30 for conference package, $4000 for consultants fees and transport $400  </t>
  </si>
  <si>
    <t>The Parliamentary Women caucus intends to craft its strategic plan in line with the POZ Institutional strategic plab 2014-2018</t>
  </si>
  <si>
    <t>Print strategic plan for distribution to stakeholders</t>
  </si>
  <si>
    <t>At least 3 Women MPs are expected to participate at the CSW Annual Women conference/ meeting every year to learn and share experiences from other global countries.</t>
  </si>
  <si>
    <t>The Parliamentary Women caucus would also want to undertake benchmark visits to other parliaments to learn best practices and share experinces</t>
  </si>
  <si>
    <t>POZ needs to sensitise the  Women Caucus members on the political/ economic and national empowerment issues to enable them to effective contribute in the debates on key national issues.</t>
  </si>
  <si>
    <t>Lobby for a 50-50 gender representation in Parliament in 2018 elections.</t>
  </si>
  <si>
    <t>PoZ needs to train MP's computer literacy in order enhance their computer skills and performance.</t>
  </si>
  <si>
    <t>The ZWPC needs to carry out a gender sensitisation and training workshop to raise awareness of Gender based violence  and erradication of the practice.</t>
  </si>
  <si>
    <t>Give induction to new 9th Parliament MPs for them to understand their new legislative role as women MPs</t>
  </si>
  <si>
    <t>Consultatitive meetings with Ministry of Justice , Legal and Parliamentary Affairs on the alignment of laws to the Constitution</t>
  </si>
  <si>
    <t>Consultant required to make an independent review of the laws aligned and not aligned to the constitution</t>
  </si>
  <si>
    <t>LCC have monthly meetings with the AG to review progress in the alignment of laws to the constitution</t>
  </si>
  <si>
    <t>Meetings meant to monitor and control progress in implementation of the Institution Startegic Plan</t>
  </si>
  <si>
    <t>Interns engaged to assist the  Parliamentary Legal Committee in the analysis and review the pieces of laws being aligned to the Constitution .</t>
  </si>
  <si>
    <t xml:space="preserve">Public hearings are done to fulfil constitutional requirement of consulting the public  before bills are made into law. </t>
  </si>
  <si>
    <t xml:space="preserve">Public hearings on specific bills done to fulfil constitutional requirement of consulting the public  before bills are made into law. </t>
  </si>
  <si>
    <t>PLOs attached to Ministries need training in Parliament business to enable them to advise their Ministries on legislative and oversight constitutional requirements.</t>
  </si>
  <si>
    <t>Parliamentary Legal Committee that scrutinise bills before they are tabled in Parliament require specialised training in analysing bills to discharge their duties effectively,</t>
  </si>
  <si>
    <t>Parliament hires 6 consultants to carry out  surveys on MPs capacity to carry out Parliament business, identify gaps and make recoomendations .</t>
  </si>
  <si>
    <t>Copies readily availed to the Admin of Parliament, MPs and other stakeholders to inform them on the capacity gaps and needs of MPs to enable appropriate interventions.</t>
  </si>
  <si>
    <t>All activities meant to promote visibility and publicity of MPs and Parliament business to all stakeholders</t>
  </si>
  <si>
    <t>The replace obsolute library reading materials with current relevant materials and start publishing a Parliament journal to publish Parliament business and research materials.</t>
  </si>
  <si>
    <t>To familirise Committee members with general legislative and policy analysis to enable them to analyse various bills brought to Parliament for debate and carry out btheir oversight function</t>
  </si>
  <si>
    <t>To familirise Committee members with the respective sector specific legislative and policy requirements for Ministries shadowed by the Committees.</t>
  </si>
  <si>
    <t>Committee go on fact finding mission to Botswana to investigate on negative  issues reported in various medias about happenings at Zimbabwe Foreign missions so as to report to Parliament to make an informed decision.</t>
  </si>
  <si>
    <t>Committee go on fact finding mission to Ethiopia  to investigate on negative  issues reported in various medias about happenings at Zimbabwe Foreign missions so as to report to Parliament to make an informed decision.</t>
  </si>
  <si>
    <t>Workshop necessary to analyse and review annual and quarterly reports Audited Public Accounts  from 20 Ministries, Parastatals and Local authorities</t>
  </si>
  <si>
    <t xml:space="preserve">Public hearings to monitor and evaluate service delivery to the electorate by all public and private institutions in Zimbabwe so as to ensure that national service delivery meets the public requirements  </t>
  </si>
  <si>
    <t>Consolidate all reports produced from public hearings conducted by Commitees and respective outcomes deriving from the recommendations.</t>
  </si>
  <si>
    <t>Financial expert required to scrutinise and interpretate the draft National  budget for MPs to make meaningful contributions before approval.</t>
  </si>
  <si>
    <t>Consult the Public and stakeholders on national priorities to be addressed by the National Budget to meet the set  SDGs</t>
  </si>
  <si>
    <t xml:space="preserve">Committees expected to report to the Minitry of Finance on the priorities the public want included in the National Budget </t>
  </si>
  <si>
    <t>MPs briefed on National Development issues and status of fiscal  National budget</t>
  </si>
  <si>
    <t xml:space="preserve">MPs attend the seminar to hear ministries reports and funding requirements and share sector funding priorities for inclusion on the National Budget </t>
  </si>
  <si>
    <t>Post budget analysis seminar for the MPs is required to ensure that the final proposed budget addresses the national goals before Parliament approves it.</t>
  </si>
  <si>
    <t xml:space="preserve">Financial experts required to analyse the final proposed budget with the respective sector Committees to enable a well informed contributions from Commitees on the debate for approving the National budget.  </t>
  </si>
  <si>
    <t xml:space="preserve">SDG Post budget analysis meant to analyse the proposed allocation of resources towards  SDG related activities so as to defend funding of such activities </t>
  </si>
  <si>
    <t>Enable Parliament to track implementation of SDG related activities</t>
  </si>
  <si>
    <t>Need to have a handbook on best practices on mainstreaming SDGs and implementation of action plans in line with ZIM/ZAM resolutions</t>
  </si>
  <si>
    <t>Need for Parliament to document results deriving from the recommendations approved by Parliament.</t>
  </si>
  <si>
    <t>Parliament to monitor if Parliament meeting its reporting requirements to all stakeholders.</t>
  </si>
  <si>
    <t>Committees expected to analyse Quarterly reports from ministries to check if the Ministries  are adhering   to the National budget and National development priorities</t>
  </si>
  <si>
    <t>Capacitate MPs with International laws and protocols, domestication of such protocols and Parliament etiquette requirements for Parliamentarians to conduct Parliament business locally or international.</t>
  </si>
  <si>
    <t>Training required to enable Committee members to effectivey and efficiently conduct oversight function.</t>
  </si>
  <si>
    <t xml:space="preserve">Sensitise MPs on SDGs to enable Monitoring implementation of SDG activities. </t>
  </si>
  <si>
    <t>Enable Parliamentarians to learn and share country experiences and learn best practices.</t>
  </si>
  <si>
    <t xml:space="preserve">Give Ministers and their deputies orientaion training on their new roles in relation to Parliament business so that they appreciate their legislative and oversight role </t>
  </si>
  <si>
    <t>Give 9th Parliament MPs orientaion training to capacitate them with the information and skills necessary for them to effectively and efficiently carry out parliament business.</t>
  </si>
  <si>
    <t xml:space="preserve">Sensitise MPs on the Parliament Code of Conduct  to  enable adoption of the code and its smooth implementation. </t>
  </si>
  <si>
    <t>1.1.5.1</t>
  </si>
  <si>
    <t>*Design, edit and copy 8 x Baseline Survey reports</t>
  </si>
  <si>
    <t xml:space="preserve">Engage 8 consultants to conduct eight baseline surveys                                                                </t>
  </si>
  <si>
    <t xml:space="preserve">Engage consultants to develop 8 gender responsive training modules                                                                </t>
  </si>
  <si>
    <t xml:space="preserve">*Production costs of 8 gender responsive training modules  </t>
  </si>
  <si>
    <t>2.1.4.2</t>
  </si>
  <si>
    <t>Hold a  meeting  for all MPs to adopt the  Code of Conduct .</t>
  </si>
  <si>
    <t>Procure 50 laptops</t>
  </si>
  <si>
    <t>2.4.4.1</t>
  </si>
  <si>
    <t>4.1.2</t>
  </si>
  <si>
    <t xml:space="preserve">Conduct inception and validation review meeting for the project review and  evaluation </t>
  </si>
  <si>
    <t>Design, edit, printing and publishing consolidated PSP programme results.</t>
  </si>
  <si>
    <t>4.1.11.4.1</t>
  </si>
  <si>
    <t xml:space="preserve"> (Printing costs -  4000 copies @ $8 a copy)</t>
  </si>
  <si>
    <t>(Printing costs -4000 copies @ $7 a copy)</t>
  </si>
  <si>
    <t>(Printing costs -2000 copies @ $5 a copy)</t>
  </si>
  <si>
    <t xml:space="preserve">(26 MPs and staff x $250 X 5 days plus Airfares $2000 X 26 people for 2 years) </t>
  </si>
  <si>
    <t>(2% of project costs for 2015-17)</t>
  </si>
  <si>
    <t>Induct  160, 9th Parliament Women MPs on the business of Parliament</t>
  </si>
  <si>
    <t>per meeting</t>
  </si>
  <si>
    <t>per each consultant</t>
  </si>
  <si>
    <t>per each participant</t>
  </si>
  <si>
    <t>per each public hearing</t>
  </si>
  <si>
    <t>per each Clerk</t>
  </si>
  <si>
    <t>Per each consultant</t>
  </si>
  <si>
    <t>per each copy</t>
  </si>
  <si>
    <t>per each workshop</t>
  </si>
  <si>
    <t xml:space="preserve">(1 X 60 MPs x $120 DSA x 3 days plus Training fees of $6800 plus 60 staff x $40 conference package x 3 days plus transport   </t>
  </si>
  <si>
    <t>per day</t>
  </si>
  <si>
    <t>per each day</t>
  </si>
  <si>
    <t>per each</t>
  </si>
  <si>
    <t>Per each</t>
  </si>
  <si>
    <t>Various items</t>
  </si>
  <si>
    <t xml:space="preserve">(260 Audit staff @ $58 conference package  per person) </t>
  </si>
  <si>
    <t>( 2 Exchange visits to two countries by 6 Auditors @ 3 per  visit@ US$250 per person per day X 5 days per delegation and airfares of $2000 per delegation and $500 local transport)</t>
  </si>
  <si>
    <t>per each delegate</t>
  </si>
  <si>
    <t>per each officer</t>
  </si>
  <si>
    <t>per each auditor</t>
  </si>
  <si>
    <t>per each committee</t>
  </si>
  <si>
    <t>per each month</t>
  </si>
  <si>
    <t>per each vehicle</t>
  </si>
  <si>
    <t>per each year</t>
  </si>
  <si>
    <t>per each module</t>
  </si>
  <si>
    <t>per diem</t>
  </si>
  <si>
    <t>per software</t>
  </si>
  <si>
    <t>per each item</t>
  </si>
  <si>
    <t>(1 Consultant firm x $400 x 10 days x 4 quarters</t>
  </si>
  <si>
    <t>per year</t>
  </si>
  <si>
    <t>per each driver</t>
  </si>
  <si>
    <t>(200 Officers X $185 X 3 days plus 2 consultants @$400  per consultant X 8 days plus transport $1 680)</t>
  </si>
  <si>
    <t>per each Committee  member</t>
  </si>
  <si>
    <t>(20 members of the ZWPC undertake an exchange visit to Regional countries on benchmark visits. (20 delegates X $250  X 5 days plus Airfares of US$17 770 total)</t>
  </si>
  <si>
    <t>(EURO)</t>
  </si>
  <si>
    <t>USE OF CONTIGENCIES/ADDENDA</t>
  </si>
  <si>
    <t>2.1.8.0</t>
  </si>
  <si>
    <t>2.1.8.1</t>
  </si>
  <si>
    <t>2.1.8.5</t>
  </si>
  <si>
    <t>2.4.10.0</t>
  </si>
  <si>
    <t>Budget Heading for Outcome 1</t>
  </si>
  <si>
    <t>BUDGET HEADING FOR OUTCOME 2</t>
  </si>
  <si>
    <t>BUDGET HEADING FOR OUTCOME 3</t>
  </si>
  <si>
    <t>BUDGET HEADING FOR OUTCOME 4</t>
  </si>
  <si>
    <t>BUDGET HEADING FOR OUTCOME 5</t>
  </si>
  <si>
    <t>per each report</t>
  </si>
  <si>
    <t>per each member</t>
  </si>
  <si>
    <t>per eac day</t>
  </si>
  <si>
    <t>per each flashdisk</t>
  </si>
  <si>
    <t>per each meeting</t>
  </si>
  <si>
    <t xml:space="preserve">15 Officers @ $170 accommodation and conference package &amp; allowances 2 days plus Gender Expert $4 500  </t>
  </si>
  <si>
    <t xml:space="preserve">  (6 consultants  @ $500 @ day for 18 days  plus advertsement costs $6376):                                                               </t>
  </si>
  <si>
    <t xml:space="preserve"> (Copy on  -  400 flash disks @ $10 a copy)</t>
  </si>
  <si>
    <t xml:space="preserve">(Printing costs -10 000  MP charts ($17700) and 2 000 Note books $10263 </t>
  </si>
  <si>
    <t xml:space="preserve"> (250 MPs x One day @ US$30 per person X 3 years plus Consultants ($2638)  </t>
  </si>
  <si>
    <t xml:space="preserve"> (Co-fund only 55 participants for 3 days at US$195 accommodation, meals &amp; allowances a day plus 3 discussants ($400x3*2) plus  hired transport-  $7 970)</t>
  </si>
  <si>
    <t xml:space="preserve">  ( 250 participants per year X one day at US$40 per day conference package X 1 day over 2 years  plus 2 consultants @ $452 each </t>
  </si>
  <si>
    <t>(Two  workshop X 40 people x $30 X 2 days plus transport of $500)</t>
  </si>
  <si>
    <t xml:space="preserve">(1 X 60 MPs x $120 DSA x 3 days plus Training fees of $6800 plus 60 staff x $40 conference package x 3 days plus transport $6350 </t>
  </si>
  <si>
    <t>SADC PF Parliament Promotional materials $3510</t>
  </si>
  <si>
    <t xml:space="preserve"> ( One day  workshop of 200 MPs and staff x $ 25 conference package per person  plus transport $750 )</t>
  </si>
  <si>
    <t>(2 X Review of the Auditor General's strategic plan (45 Managers x $170 x 5 days plus transport and consultation fees $9640)</t>
  </si>
  <si>
    <t>( 2 Exchange visits to two countries by 6 Auditors per country @ US$250 per person per day X 5 days per delegation and airfares of $793.75 per delegation )</t>
  </si>
  <si>
    <t>60 auditors @ $40 per day for venue &amp; refreshments plus consultant $1 655</t>
  </si>
  <si>
    <t>Two consultants @$600 per day for 30 days plus allowances$7211</t>
  </si>
  <si>
    <t>(Audit firm to undertake PSP Audit $4 695 per year for  4 years</t>
  </si>
  <si>
    <t>(260 Officers X $185 X 3 days plus 2 consultants ($7500)  for 5 days plus transport $20 000 x5)</t>
  </si>
  <si>
    <t xml:space="preserve">One consultant firm @ $510 for 10 days     </t>
  </si>
  <si>
    <t>(Consultant hired for 15 days @ $600 a day plus conference package $6407.13)</t>
  </si>
  <si>
    <t>2 Open days X Advert-print media $6136, Broadcasting $6500, Banners &amp; Flyers $5400, Tent &amp; Decoration $7500,entertainment $6 000 and refreshment for staff/VIP $4 000 and  promotional materials $19900</t>
  </si>
  <si>
    <t xml:space="preserve"> (3 X 45 Officers X US$150 X 3 days)+(Two Consultants  $3213.7 ) plus POZ</t>
  </si>
  <si>
    <t>(2 meetings X30 Participants @ $13.35 per person conference package  )</t>
  </si>
  <si>
    <t>(2 Students interns @$400 per month for 40 months)</t>
  </si>
  <si>
    <t xml:space="preserve">Four seminars &amp; meetings of   $4360 +$3000 +$1400 +$120 </t>
  </si>
  <si>
    <t>per  day</t>
  </si>
  <si>
    <t>(8 PSP Board meetings and 4 Steering Committee Meetings and 4 Partners meeting per year  with average of 16 Stakeholders @ $20 per participant in Harare over three years)</t>
  </si>
  <si>
    <t>per month</t>
  </si>
  <si>
    <t>per vehicle</t>
  </si>
  <si>
    <t>per each printer</t>
  </si>
  <si>
    <t>3 Vehicles X Bull bars, canopies,tow hitches  $25750</t>
  </si>
  <si>
    <t>per each  consultant</t>
  </si>
  <si>
    <t>per eack report</t>
  </si>
  <si>
    <t>per user</t>
  </si>
  <si>
    <t>per each laptop</t>
  </si>
  <si>
    <t>per printer</t>
  </si>
  <si>
    <t>per each open day</t>
  </si>
  <si>
    <t>4.1.4.0</t>
  </si>
  <si>
    <t xml:space="preserve"> (Two x 4x4 double cab vehicles @ $21 896.67 each </t>
  </si>
  <si>
    <t>Per each vehicle</t>
  </si>
  <si>
    <t>Procure  One 4 x 4 double cab  project vehicle ( to support Parliament programme activities )</t>
  </si>
  <si>
    <t>(26 laptops @ $858.7each plus clearing costs  )</t>
  </si>
  <si>
    <t>Procure 26 laptops for  committees</t>
  </si>
  <si>
    <t>Procure 20 laptops</t>
  </si>
  <si>
    <t>(20 laptops @ $858.7each plus clearing costs  )</t>
  </si>
  <si>
    <t>2.4.4.0</t>
  </si>
  <si>
    <r>
      <t>BUDGET AS PER NEW ADDENDUM SIGNED</t>
    </r>
    <r>
      <rPr>
        <b/>
        <vertAlign val="superscript"/>
        <sz val="16"/>
        <rFont val="Arial"/>
        <family val="2"/>
      </rPr>
      <t xml:space="preserve">
(Only to be completed when an amendment is necessary)</t>
    </r>
  </si>
  <si>
    <t>BUDGET FOR ACTION (EURO/US$)</t>
  </si>
  <si>
    <t>Year 1               (2015)</t>
  </si>
  <si>
    <t>Year 2              (2016)</t>
  </si>
  <si>
    <t>Year 3          (2017)</t>
  </si>
  <si>
    <t>Year 4           (2018)</t>
  </si>
  <si>
    <t>TIME FRAME/ANNUAL BUDGETS (REVISED)</t>
  </si>
  <si>
    <t>Year 1                (2015)</t>
  </si>
  <si>
    <t>Year 2                      (2016)</t>
  </si>
  <si>
    <t>Year 3                        (2017)</t>
  </si>
  <si>
    <t>PLANNED ACTIVITY/EXPENDITURES</t>
  </si>
  <si>
    <t xml:space="preserve">Programme period:  November 2015 - December 2017  </t>
  </si>
  <si>
    <t>per consignment</t>
  </si>
  <si>
    <t xml:space="preserve">per each </t>
  </si>
  <si>
    <t>per eacg participant</t>
  </si>
  <si>
    <t>per each std</t>
  </si>
  <si>
    <t>per each projector</t>
  </si>
  <si>
    <t>2015 -2018 PSP WORKPLAN AND BUDGET CONTINGENCIES/ADDENDUM</t>
  </si>
  <si>
    <t>Promotional material for Parliament &amp; Development partners' visibility</t>
  </si>
  <si>
    <t>To capacitate the Auditors</t>
  </si>
  <si>
    <t xml:space="preserve">PSP Summary Indicative Budget  (US$) </t>
  </si>
  <si>
    <t>TOTAL                                                (2015-2017)</t>
  </si>
  <si>
    <t xml:space="preserve">BUDGET FOR ACTION </t>
  </si>
  <si>
    <t>BUDGET AS PER ORIGINAL ADDENDUM SIGNED (2015 - 2017)</t>
  </si>
  <si>
    <t>AWARD ID  - 00087153</t>
  </si>
  <si>
    <t>2015 - 2018  PSP  Workplan and Budget Addenda /Use of Contigency</t>
  </si>
  <si>
    <t xml:space="preserve">TOTAL BUDGET            2015-2018          </t>
  </si>
  <si>
    <t xml:space="preserve">TOTAL BUDGET          2015-2018         </t>
  </si>
  <si>
    <t>USE OF CONTIGENCIES/          ADDENDA</t>
  </si>
  <si>
    <r>
      <t>BUDGET AS PER NEW ADDENDUM SIGNED (2015 - 2018)</t>
    </r>
    <r>
      <rPr>
        <b/>
        <vertAlign val="superscript"/>
        <sz val="16"/>
        <rFont val="Arial"/>
        <family val="2"/>
      </rPr>
      <t xml:space="preserve">
(Only to be completed when an amendment is necessary)</t>
    </r>
  </si>
  <si>
    <t>2015 -2018 PSP WORKPLAN AND BUDGET  - FORECAST BUDGET &amp; FOLLOW - UP</t>
  </si>
  <si>
    <t>00094261</t>
  </si>
  <si>
    <t xml:space="preserve">00094261 - Multi Donor Support Programme for the Parliament and Office of the Auditor General of Zimbabwe (2015 - 2017)  </t>
  </si>
  <si>
    <t xml:space="preserve">ANNUAL BUDGET AS PER REVISED ANNUAL BUDGETS </t>
  </si>
  <si>
    <t xml:space="preserve">Agreement by ( UNDP):   </t>
  </si>
  <si>
    <t>Agreed by (EU) :</t>
  </si>
  <si>
    <t>EUROPEAN UNION (EU)</t>
  </si>
  <si>
    <t>2015 - 2017  PSP  Workplan and Budget Addenda /Use of Contigency</t>
  </si>
  <si>
    <t>Total as per the Budget Items (Euro) using the market rates</t>
  </si>
  <si>
    <t>Exchange Difference</t>
  </si>
  <si>
    <t>Euro</t>
  </si>
  <si>
    <t>Contributions per Dev Partner(Basket Funding)</t>
  </si>
  <si>
    <t>1.2.20.1</t>
  </si>
  <si>
    <t>1.2.20.2</t>
  </si>
  <si>
    <t>2.1.4.3</t>
  </si>
  <si>
    <t xml:space="preserve">2.1.8.3 </t>
  </si>
  <si>
    <t>2.1.8.6</t>
  </si>
  <si>
    <t>2.2.3.4</t>
  </si>
  <si>
    <t>2.4.4.2</t>
  </si>
  <si>
    <t>4.2.11.4</t>
  </si>
  <si>
    <t>4.3.6.3</t>
  </si>
  <si>
    <t xml:space="preserve">ANNUAL BUDGETS AS PER ORIGINAL CONTRACT </t>
  </si>
  <si>
    <t>Exchange rate for SIDA &amp; UNDP:  EURO1 = US$1.1317</t>
  </si>
  <si>
    <t>Exchange rate EU are as follows:</t>
  </si>
  <si>
    <t>EURO1 = US$1.10</t>
  </si>
  <si>
    <t>EURO1 = US$1.11</t>
  </si>
  <si>
    <t>EURO1 = US$1.16</t>
  </si>
  <si>
    <t>7. The echange difference arose from the use of exchange rates at the date of receipt of funds from EU ( Euro 1=US $1.10 in the first year, Euro 1= US $1.11 in the second year and Euro 1=US $ 1.16 (Current rate) in the forth year)</t>
  </si>
  <si>
    <t>BUDGET AS PER ORIGINAL CONTRACT</t>
  </si>
  <si>
    <t>(Current  rate)</t>
  </si>
  <si>
    <t>3 X public hearing x 28 MPs and staff per Committee x 5 days x $170 Accommodation &amp; allowances per MP, plus hired transport $4500 per Public Hearing and Adverts $2133.50 )</t>
  </si>
  <si>
    <t>EXPENDITURE CATEGORY</t>
  </si>
  <si>
    <t xml:space="preserve">BUDGET AS PER NEW ADDENDUM SIGNED (2015 - 2018) (in EUR) </t>
  </si>
  <si>
    <t># of Units</t>
  </si>
  <si>
    <t>Unit Value     (in EUR)</t>
  </si>
  <si>
    <t>Total Cost         (in EUR)</t>
  </si>
  <si>
    <t>Total Cost (in EUR)</t>
  </si>
  <si>
    <t>Use of Contigency/Addenda</t>
  </si>
  <si>
    <t>in Euro</t>
  </si>
  <si>
    <t>GRANT TOTAL</t>
  </si>
  <si>
    <t>3 X public hearing x 28 MPs and staff per Committee x 5 days x $170 Accommodation &amp; allowances per MP, plus hired transport @$4500 per hearings plus adverts $ 2133.2)</t>
  </si>
  <si>
    <t>MULTI DONOR PARLIAMENTARY SUPPORT PROGRAMME TO THE PARLIAMENT AND AUDITOR GENERAL OF ZIMBABWE. FED/2015/358-801. Addendum 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</si>
</sst>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_(* \(#,##0.00\);_(* &quot;-&quot;??_);_(@_)"/>
    <numFmt numFmtId="165" formatCode="_(* #,##0.00_);_(* \(#,##0.00\);_(* \-??_);_(@_)"/>
    <numFmt numFmtId="166" formatCode="#,##0.0"/>
    <numFmt numFmtId="167" formatCode="_-* #,##0\ _F_B_-;\-* #,##0\ _F_B_-;_-* &quot;-&quot;??\ _F_B_-;_-@_-"/>
    <numFmt numFmtId="168" formatCode="_-* #,##0.00\ _F_B_-;\-* #,##0.00\ _F_B_-;_-* &quot;-&quot;??\ _F_B_-;_-@_-"/>
    <numFmt numFmtId="169" formatCode="#,##0.0000"/>
    <numFmt numFmtId="170" formatCode="&quot;$&quot;#,##0.00"/>
    <numFmt numFmtId="171" formatCode="_(* #,##0_);_(* \(#,##0\);_(* \-??_);_(@_)"/>
    <numFmt numFmtId="172" formatCode="#,##0.00000"/>
    <numFmt numFmtId="173" formatCode="#,##0.000"/>
    <numFmt numFmtId="174" formatCode="#,##0.00\ ;&quot; (&quot;#,##0.00\);&quot; -&quot;#\ ;@\ "/>
    <numFmt numFmtId="175" formatCode="[$€-2]\ #,##0.00"/>
    <numFmt numFmtId="176" formatCode="#,##0.0000000000"/>
  </numFmts>
  <fonts count="61" x14ac:knownFonts="1">
    <font>
      <sz val="10"/>
      <name val="Arial"/>
      <family val="2"/>
    </font>
    <font>
      <sz val="11"/>
      <color theme="1"/>
      <name val="Calibri"/>
      <family val="2"/>
      <scheme val="minor"/>
    </font>
    <font>
      <sz val="11"/>
      <color theme="1"/>
      <name val="Calibri"/>
      <family val="2"/>
      <scheme val="minor"/>
    </font>
    <font>
      <sz val="10"/>
      <name val="Arial"/>
      <family val="2"/>
    </font>
    <font>
      <b/>
      <i/>
      <sz val="10"/>
      <name val="Arial"/>
      <family val="2"/>
    </font>
    <font>
      <b/>
      <i/>
      <sz val="36"/>
      <name val="Arial"/>
      <family val="2"/>
    </font>
    <font>
      <b/>
      <sz val="12"/>
      <name val="Arial"/>
      <family val="2"/>
    </font>
    <font>
      <b/>
      <i/>
      <sz val="11"/>
      <name val="Arial"/>
      <family val="2"/>
    </font>
    <font>
      <b/>
      <i/>
      <sz val="16"/>
      <name val="Arial"/>
      <family val="2"/>
    </font>
    <font>
      <b/>
      <i/>
      <sz val="18"/>
      <name val="Arial"/>
      <family val="2"/>
    </font>
    <font>
      <i/>
      <sz val="16"/>
      <name val="Arial"/>
      <family val="2"/>
    </font>
    <font>
      <b/>
      <sz val="10"/>
      <name val="Arial"/>
      <family val="2"/>
    </font>
    <font>
      <b/>
      <sz val="16"/>
      <name val="Arial"/>
      <family val="2"/>
    </font>
    <font>
      <b/>
      <sz val="14"/>
      <name val="Arial"/>
      <family val="2"/>
    </font>
    <font>
      <sz val="16"/>
      <name val="Arial"/>
      <family val="2"/>
    </font>
    <font>
      <sz val="14"/>
      <name val="Arial"/>
      <family val="2"/>
    </font>
    <font>
      <b/>
      <sz val="20"/>
      <name val="Arial"/>
      <family val="2"/>
    </font>
    <font>
      <sz val="16"/>
      <color theme="5"/>
      <name val="Arial"/>
      <family val="2"/>
    </font>
    <font>
      <b/>
      <sz val="16"/>
      <color theme="5"/>
      <name val="Arial"/>
      <family val="2"/>
    </font>
    <font>
      <sz val="12"/>
      <name val="Arial"/>
      <family val="2"/>
    </font>
    <font>
      <b/>
      <sz val="11"/>
      <name val="Arial"/>
      <family val="2"/>
    </font>
    <font>
      <sz val="10"/>
      <color theme="1"/>
      <name val="Arial"/>
      <family val="2"/>
    </font>
    <font>
      <sz val="11"/>
      <name val="Arial"/>
      <family val="2"/>
    </font>
    <font>
      <i/>
      <sz val="11"/>
      <name val="Arial"/>
      <family val="2"/>
    </font>
    <font>
      <b/>
      <sz val="12"/>
      <name val="Verdana"/>
      <family val="2"/>
    </font>
    <font>
      <b/>
      <vertAlign val="superscript"/>
      <sz val="12"/>
      <name val="Verdana"/>
      <family val="2"/>
    </font>
    <font>
      <sz val="10"/>
      <name val="Verdana"/>
      <family val="2"/>
    </font>
    <font>
      <sz val="11"/>
      <color indexed="8"/>
      <name val="Calibri"/>
      <family val="2"/>
    </font>
    <font>
      <b/>
      <sz val="10"/>
      <name val="Verdana"/>
      <family val="2"/>
    </font>
    <font>
      <b/>
      <sz val="10"/>
      <color theme="1"/>
      <name val="Verdana"/>
      <family val="2"/>
    </font>
    <font>
      <sz val="10"/>
      <color theme="1"/>
      <name val="Verdana"/>
      <family val="2"/>
    </font>
    <font>
      <sz val="11"/>
      <color indexed="8"/>
      <name val="Verdana"/>
      <family val="2"/>
    </font>
    <font>
      <i/>
      <sz val="10"/>
      <name val="Verdana"/>
      <family val="2"/>
    </font>
    <font>
      <i/>
      <sz val="10"/>
      <color theme="1"/>
      <name val="Verdana"/>
      <family val="2"/>
    </font>
    <font>
      <i/>
      <vertAlign val="superscript"/>
      <sz val="10"/>
      <color indexed="8"/>
      <name val="Verdana"/>
      <family val="2"/>
    </font>
    <font>
      <vertAlign val="superscript"/>
      <sz val="10"/>
      <name val="Verdana"/>
      <family val="2"/>
    </font>
    <font>
      <sz val="9"/>
      <name val="Verdana"/>
      <family val="2"/>
    </font>
    <font>
      <vertAlign val="superscript"/>
      <sz val="9"/>
      <name val="Verdana"/>
      <family val="2"/>
    </font>
    <font>
      <b/>
      <sz val="9"/>
      <name val="Verdana"/>
      <family val="2"/>
    </font>
    <font>
      <sz val="11"/>
      <color theme="1"/>
      <name val="Calibri"/>
      <family val="2"/>
    </font>
    <font>
      <vertAlign val="superscript"/>
      <sz val="10"/>
      <color indexed="8"/>
      <name val="Verdana"/>
      <family val="2"/>
    </font>
    <font>
      <sz val="10"/>
      <color indexed="8"/>
      <name val="Verdana"/>
      <family val="2"/>
    </font>
    <font>
      <sz val="10"/>
      <color theme="1"/>
      <name val="Times New Roman"/>
      <family val="1"/>
    </font>
    <font>
      <sz val="12"/>
      <color theme="3" tint="0.79998168889431442"/>
      <name val="Arial"/>
      <family val="2"/>
    </font>
    <font>
      <b/>
      <i/>
      <sz val="14"/>
      <name val="Arial"/>
      <family val="2"/>
    </font>
    <font>
      <sz val="20"/>
      <name val="Arial"/>
      <family val="2"/>
    </font>
    <font>
      <sz val="8"/>
      <name val="Arial"/>
      <family val="2"/>
    </font>
    <font>
      <b/>
      <vertAlign val="superscript"/>
      <sz val="16"/>
      <name val="Arial"/>
      <family val="2"/>
    </font>
    <font>
      <b/>
      <sz val="9"/>
      <color indexed="81"/>
      <name val="Tahoma"/>
      <family val="2"/>
    </font>
    <font>
      <sz val="9"/>
      <color indexed="81"/>
      <name val="Tahoma"/>
      <family val="2"/>
    </font>
    <font>
      <b/>
      <sz val="14"/>
      <color rgb="FFFF0000"/>
      <name val="Arial"/>
      <family val="2"/>
    </font>
    <font>
      <sz val="16"/>
      <color rgb="FFFF0000"/>
      <name val="Arial"/>
      <family val="2"/>
    </font>
    <font>
      <sz val="12"/>
      <color rgb="FFFF0000"/>
      <name val="Arial"/>
      <family val="2"/>
    </font>
    <font>
      <b/>
      <sz val="16"/>
      <color rgb="FFFF0000"/>
      <name val="Arial"/>
      <family val="2"/>
    </font>
    <font>
      <b/>
      <sz val="12"/>
      <name val="Calibri"/>
      <family val="2"/>
      <scheme val="minor"/>
    </font>
    <font>
      <sz val="9"/>
      <name val="Calibri"/>
      <family val="2"/>
      <scheme val="minor"/>
    </font>
    <font>
      <b/>
      <sz val="9"/>
      <name val="Calibri"/>
      <family val="2"/>
      <scheme val="minor"/>
    </font>
    <font>
      <sz val="10"/>
      <name val="Calibri Light"/>
      <family val="1"/>
      <scheme val="major"/>
    </font>
    <font>
      <b/>
      <sz val="11"/>
      <name val="Calibri Light"/>
      <family val="1"/>
      <scheme val="major"/>
    </font>
    <font>
      <b/>
      <sz val="10"/>
      <name val="Calibri Light"/>
      <family val="2"/>
      <scheme val="major"/>
    </font>
    <font>
      <b/>
      <sz val="11"/>
      <name val="Calibri Light"/>
      <family val="2"/>
      <scheme val="major"/>
    </font>
  </fonts>
  <fills count="18">
    <fill>
      <patternFill patternType="none"/>
    </fill>
    <fill>
      <patternFill patternType="gray125"/>
    </fill>
    <fill>
      <patternFill patternType="solid">
        <fgColor theme="9" tint="0.79998168889431442"/>
        <bgColor indexed="64"/>
      </patternFill>
    </fill>
    <fill>
      <patternFill patternType="solid">
        <fgColor indexed="15"/>
        <bgColor indexed="64"/>
      </patternFill>
    </fill>
    <fill>
      <patternFill patternType="solid">
        <fgColor indexed="41"/>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808080"/>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rgb="FF00B0F0"/>
        <bgColor indexed="35"/>
      </patternFill>
    </fill>
    <fill>
      <patternFill patternType="solid">
        <fgColor theme="7" tint="0.79998168889431442"/>
        <bgColor indexed="64"/>
      </patternFill>
    </fill>
    <fill>
      <patternFill patternType="solid">
        <fgColor rgb="FFD8E4F6"/>
        <bgColor indexed="64"/>
      </patternFill>
    </fill>
    <fill>
      <patternFill patternType="solid">
        <fgColor theme="2" tint="-9.9978637043366805E-2"/>
        <bgColor indexed="64"/>
      </patternFill>
    </fill>
  </fills>
  <borders count="1202">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top/>
      <bottom style="medium">
        <color indexed="64"/>
      </bottom>
      <diagonal/>
    </border>
    <border>
      <left/>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3"/>
      </left>
      <right style="thin">
        <color indexed="63"/>
      </right>
      <top/>
      <bottom/>
      <diagonal/>
    </border>
    <border>
      <left style="thin">
        <color indexed="63"/>
      </left>
      <right/>
      <top/>
      <bottom/>
      <diagonal/>
    </border>
    <border>
      <left style="medium">
        <color auto="1"/>
      </left>
      <right style="thin">
        <color indexed="63"/>
      </right>
      <top/>
      <bottom/>
      <diagonal/>
    </border>
    <border>
      <left style="thin">
        <color indexed="63"/>
      </left>
      <right style="thin">
        <color indexed="63"/>
      </right>
      <top/>
      <bottom style="thin">
        <color auto="1"/>
      </bottom>
      <diagonal/>
    </border>
    <border>
      <left style="thin">
        <color indexed="63"/>
      </left>
      <right/>
      <top/>
      <bottom style="thin">
        <color auto="1"/>
      </bottom>
      <diagonal/>
    </border>
    <border>
      <left style="medium">
        <color auto="1"/>
      </left>
      <right style="thin">
        <color auto="1"/>
      </right>
      <top/>
      <bottom/>
      <diagonal/>
    </border>
    <border>
      <left style="medium">
        <color auto="1"/>
      </left>
      <right style="thin">
        <color indexed="63"/>
      </right>
      <top/>
      <bottom style="medium">
        <color indexed="63"/>
      </bottom>
      <diagonal/>
    </border>
    <border>
      <left style="medium">
        <color auto="1"/>
      </left>
      <right/>
      <top style="thin">
        <color auto="1"/>
      </top>
      <bottom/>
      <diagonal/>
    </border>
    <border>
      <left style="medium">
        <color auto="1"/>
      </left>
      <right style="medium">
        <color indexed="64"/>
      </right>
      <top/>
      <bottom style="medium">
        <color auto="1"/>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style="thin">
        <color indexed="64"/>
      </left>
      <right style="thin">
        <color indexed="64"/>
      </right>
      <top/>
      <bottom/>
      <diagonal/>
    </border>
    <border>
      <left style="thin">
        <color indexed="64"/>
      </left>
      <right style="medium">
        <color auto="1"/>
      </right>
      <top/>
      <bottom/>
      <diagonal/>
    </border>
    <border>
      <left style="medium">
        <color auto="1"/>
      </left>
      <right/>
      <top/>
      <bottom style="thin">
        <color auto="1"/>
      </bottom>
      <diagonal/>
    </border>
    <border>
      <left style="medium">
        <color auto="1"/>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medium">
        <color auto="1"/>
      </left>
      <right style="thin">
        <color indexed="63"/>
      </right>
      <top style="medium">
        <color indexed="63"/>
      </top>
      <bottom style="medium">
        <color auto="1"/>
      </bottom>
      <diagonal/>
    </border>
    <border>
      <left style="medium">
        <color auto="1"/>
      </left>
      <right style="medium">
        <color auto="1"/>
      </right>
      <top style="medium">
        <color auto="1"/>
      </top>
      <bottom style="medium">
        <color indexed="64"/>
      </bottom>
      <diagonal/>
    </border>
    <border>
      <left style="medium">
        <color auto="1"/>
      </left>
      <right style="thin">
        <color indexed="63"/>
      </right>
      <top/>
      <bottom style="medium">
        <color auto="1"/>
      </bottom>
      <diagonal/>
    </border>
    <border>
      <left style="medium">
        <color auto="1"/>
      </left>
      <right style="thin">
        <color indexed="63"/>
      </right>
      <top style="medium">
        <color indexed="64"/>
      </top>
      <bottom style="medium">
        <color auto="1"/>
      </bottom>
      <diagonal/>
    </border>
    <border>
      <left style="medium">
        <color auto="1"/>
      </left>
      <right style="thin">
        <color indexed="63"/>
      </right>
      <top/>
      <bottom style="thin">
        <color indexed="63"/>
      </bottom>
      <diagonal/>
    </border>
    <border>
      <left style="medium">
        <color auto="1"/>
      </left>
      <right style="thin">
        <color indexed="63"/>
      </right>
      <top style="medium">
        <color indexed="63"/>
      </top>
      <bottom style="medium">
        <color auto="1"/>
      </bottom>
      <diagonal/>
    </border>
    <border>
      <left style="thin">
        <color indexed="63"/>
      </left>
      <right style="thin">
        <color indexed="63"/>
      </right>
      <top style="medium">
        <color indexed="63"/>
      </top>
      <bottom style="medium">
        <color auto="1"/>
      </bottom>
      <diagonal/>
    </border>
    <border>
      <left style="medium">
        <color auto="1"/>
      </left>
      <right style="thin">
        <color indexed="63"/>
      </right>
      <top/>
      <bottom style="medium">
        <color indexed="63"/>
      </bottom>
      <diagonal/>
    </border>
    <border>
      <left style="medium">
        <color auto="1"/>
      </left>
      <right style="thin">
        <color indexed="63"/>
      </right>
      <top style="medium">
        <color indexed="63"/>
      </top>
      <bottom style="medium">
        <color indexed="63"/>
      </bottom>
      <diagonal/>
    </border>
    <border>
      <left style="medium">
        <color auto="1"/>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medium">
        <color auto="1"/>
      </left>
      <right style="thin">
        <color indexed="63"/>
      </right>
      <top style="medium">
        <color indexed="63"/>
      </top>
      <bottom style="thin">
        <color indexed="64"/>
      </bottom>
      <diagonal/>
    </border>
    <border>
      <left style="medium">
        <color auto="1"/>
      </left>
      <right style="thin">
        <color indexed="64"/>
      </right>
      <top/>
      <bottom/>
      <diagonal/>
    </border>
    <border>
      <left style="medium">
        <color auto="1"/>
      </left>
      <right style="thin">
        <color indexed="63"/>
      </right>
      <top style="medium">
        <color indexed="63"/>
      </top>
      <bottom style="medium">
        <color indexed="63"/>
      </bottom>
      <diagonal/>
    </border>
    <border>
      <left style="medium">
        <color auto="1"/>
      </left>
      <right/>
      <top style="medium">
        <color indexed="63"/>
      </top>
      <bottom style="medium">
        <color auto="1"/>
      </bottom>
      <diagonal/>
    </border>
    <border>
      <left/>
      <right/>
      <top style="medium">
        <color indexed="63"/>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ck">
        <color auto="1"/>
      </bottom>
      <diagonal/>
    </border>
    <border>
      <left style="medium">
        <color auto="1"/>
      </left>
      <right/>
      <top style="medium">
        <color indexed="63"/>
      </top>
      <bottom style="thin">
        <color indexed="63"/>
      </bottom>
      <diagonal/>
    </border>
    <border>
      <left/>
      <right/>
      <top style="medium">
        <color indexed="63"/>
      </top>
      <bottom style="thin">
        <color indexed="63"/>
      </bottom>
      <diagonal/>
    </border>
    <border>
      <left style="medium">
        <color auto="1"/>
      </left>
      <right style="thin">
        <color indexed="63"/>
      </right>
      <top style="thin">
        <color auto="1"/>
      </top>
      <bottom/>
      <diagonal/>
    </border>
    <border>
      <left style="medium">
        <color auto="1"/>
      </left>
      <right/>
      <top style="medium">
        <color indexed="64"/>
      </top>
      <bottom style="thin">
        <color indexed="63"/>
      </bottom>
      <diagonal/>
    </border>
    <border>
      <left/>
      <right/>
      <top style="medium">
        <color indexed="64"/>
      </top>
      <bottom style="thin">
        <color indexed="63"/>
      </bottom>
      <diagonal/>
    </border>
    <border>
      <left style="thin">
        <color indexed="63"/>
      </left>
      <right style="thin">
        <color indexed="63"/>
      </right>
      <top style="thin">
        <color auto="1"/>
      </top>
      <bottom style="thin">
        <color indexed="63"/>
      </bottom>
      <diagonal/>
    </border>
    <border>
      <left style="thin">
        <color indexed="63"/>
      </left>
      <right style="thin">
        <color indexed="63"/>
      </right>
      <top style="thin">
        <color auto="1"/>
      </top>
      <bottom/>
      <diagonal/>
    </border>
    <border>
      <left/>
      <right style="thin">
        <color indexed="63"/>
      </right>
      <top style="medium">
        <color auto="1"/>
      </top>
      <bottom style="thin">
        <color auto="1"/>
      </bottom>
      <diagonal/>
    </border>
    <border>
      <left/>
      <right style="thin">
        <color indexed="64"/>
      </right>
      <top style="medium">
        <color auto="1"/>
      </top>
      <bottom/>
      <diagonal/>
    </border>
    <border>
      <left/>
      <right/>
      <top style="thick">
        <color indexed="64"/>
      </top>
      <bottom/>
      <diagonal/>
    </border>
    <border>
      <left style="medium">
        <color auto="1"/>
      </left>
      <right/>
      <top style="thin">
        <color indexed="63"/>
      </top>
      <bottom style="thin">
        <color auto="1"/>
      </bottom>
      <diagonal/>
    </border>
    <border>
      <left/>
      <right/>
      <top style="thin">
        <color indexed="63"/>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auto="1"/>
      </right>
      <top/>
      <bottom style="medium">
        <color auto="1"/>
      </bottom>
      <diagonal/>
    </border>
    <border>
      <left style="medium">
        <color auto="1"/>
      </left>
      <right style="thin">
        <color indexed="63"/>
      </right>
      <top/>
      <bottom/>
      <diagonal/>
    </border>
    <border>
      <left style="medium">
        <color auto="1"/>
      </left>
      <right style="thin">
        <color auto="1"/>
      </right>
      <top/>
      <bottom/>
      <diagonal/>
    </border>
    <border>
      <left style="medium">
        <color indexed="64"/>
      </left>
      <right style="medium">
        <color auto="1"/>
      </right>
      <top style="thin">
        <color indexed="64"/>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style="medium">
        <color indexed="64"/>
      </right>
      <top/>
      <bottom style="thin">
        <color indexed="64"/>
      </bottom>
      <diagonal/>
    </border>
    <border>
      <left/>
      <right/>
      <top style="medium">
        <color indexed="63"/>
      </top>
      <bottom style="thin">
        <color indexed="63"/>
      </bottom>
      <diagonal/>
    </border>
    <border>
      <left/>
      <right style="medium">
        <color indexed="64"/>
      </right>
      <top style="thin">
        <color auto="1"/>
      </top>
      <bottom/>
      <diagonal/>
    </border>
    <border>
      <left style="medium">
        <color indexed="63"/>
      </left>
      <right style="thin">
        <color indexed="63"/>
      </right>
      <top style="thin">
        <color indexed="63"/>
      </top>
      <bottom style="thin">
        <color indexed="63"/>
      </bottom>
      <diagonal/>
    </border>
    <border>
      <left style="medium">
        <color indexed="63"/>
      </left>
      <right style="thin">
        <color indexed="63"/>
      </right>
      <top style="thin">
        <color indexed="63"/>
      </top>
      <bottom/>
      <diagonal/>
    </border>
    <border>
      <left style="medium">
        <color indexed="63"/>
      </left>
      <right style="thin">
        <color indexed="63"/>
      </right>
      <top/>
      <bottom/>
      <diagonal/>
    </border>
    <border>
      <left style="thin">
        <color indexed="63"/>
      </left>
      <right style="medium">
        <color indexed="63"/>
      </right>
      <top/>
      <bottom/>
      <diagonal/>
    </border>
    <border>
      <left style="thin">
        <color indexed="63"/>
      </left>
      <right style="medium">
        <color indexed="63"/>
      </right>
      <top/>
      <bottom style="medium">
        <color indexed="63"/>
      </bottom>
      <diagonal/>
    </border>
    <border>
      <left style="thin">
        <color indexed="63"/>
      </left>
      <right style="thin">
        <color indexed="63"/>
      </right>
      <top style="medium">
        <color auto="1"/>
      </top>
      <bottom style="thin">
        <color indexed="63"/>
      </bottom>
      <diagonal/>
    </border>
    <border>
      <left style="thin">
        <color indexed="63"/>
      </left>
      <right style="medium">
        <color indexed="63"/>
      </right>
      <top/>
      <bottom style="medium">
        <color auto="1"/>
      </bottom>
      <diagonal/>
    </border>
    <border>
      <left style="medium">
        <color indexed="63"/>
      </left>
      <right style="thin">
        <color indexed="63"/>
      </right>
      <top style="medium">
        <color indexed="64"/>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indexed="63"/>
      </right>
      <top style="medium">
        <color indexed="63"/>
      </top>
      <bottom style="medium">
        <color auto="1"/>
      </bottom>
      <diagonal/>
    </border>
    <border>
      <left style="medium">
        <color auto="1"/>
      </left>
      <right style="medium">
        <color auto="1"/>
      </right>
      <top/>
      <bottom style="thin">
        <color auto="1"/>
      </bottom>
      <diagonal/>
    </border>
    <border>
      <left style="thin">
        <color auto="1"/>
      </left>
      <right style="thin">
        <color auto="1"/>
      </right>
      <top style="medium">
        <color auto="1"/>
      </top>
      <bottom/>
      <diagonal/>
    </border>
    <border>
      <left/>
      <right style="medium">
        <color auto="1"/>
      </right>
      <top style="medium">
        <color auto="1"/>
      </top>
      <bottom style="thin">
        <color indexed="64"/>
      </bottom>
      <diagonal/>
    </border>
    <border>
      <left style="medium">
        <color auto="1"/>
      </left>
      <right style="thin">
        <color indexed="63"/>
      </right>
      <top style="thin">
        <color auto="1"/>
      </top>
      <bottom/>
      <diagonal/>
    </border>
    <border>
      <left style="medium">
        <color auto="1"/>
      </left>
      <right style="thin">
        <color indexed="64"/>
      </right>
      <top/>
      <bottom/>
      <diagonal/>
    </border>
    <border>
      <left style="medium">
        <color auto="1"/>
      </left>
      <right style="medium">
        <color auto="1"/>
      </right>
      <top style="thin">
        <color auto="1"/>
      </top>
      <bottom/>
      <diagonal/>
    </border>
    <border>
      <left style="thin">
        <color indexed="63"/>
      </left>
      <right/>
      <top/>
      <bottom style="thin">
        <color auto="1"/>
      </bottom>
      <diagonal/>
    </border>
    <border>
      <left/>
      <right/>
      <top style="thin">
        <color indexed="63"/>
      </top>
      <bottom/>
      <diagonal/>
    </border>
    <border>
      <left style="thin">
        <color indexed="63"/>
      </left>
      <right style="thin">
        <color indexed="63"/>
      </right>
      <top/>
      <bottom style="medium">
        <color indexed="63"/>
      </bottom>
      <diagonal/>
    </border>
    <border>
      <left style="thin">
        <color indexed="63"/>
      </left>
      <right/>
      <top/>
      <bottom style="medium">
        <color indexed="63"/>
      </bottom>
      <diagonal/>
    </border>
    <border>
      <left style="medium">
        <color indexed="64"/>
      </left>
      <right style="medium">
        <color indexed="64"/>
      </right>
      <top/>
      <bottom style="medium">
        <color auto="1"/>
      </bottom>
      <diagonal/>
    </border>
    <border>
      <left style="medium">
        <color auto="1"/>
      </left>
      <right style="thin">
        <color indexed="63"/>
      </right>
      <top/>
      <bottom style="thin">
        <color indexed="63"/>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
      <left/>
      <right/>
      <top/>
      <bottom style="thin">
        <color indexed="63"/>
      </bottom>
      <diagonal/>
    </border>
    <border>
      <left style="thin">
        <color indexed="63"/>
      </left>
      <right/>
      <top/>
      <bottom style="thin">
        <color indexed="63"/>
      </bottom>
      <diagonal/>
    </border>
    <border>
      <left style="medium">
        <color auto="1"/>
      </left>
      <right/>
      <top/>
      <bottom style="thin">
        <color indexed="63"/>
      </bottom>
      <diagonal/>
    </border>
    <border>
      <left style="medium">
        <color auto="1"/>
      </left>
      <right/>
      <top/>
      <bottom style="thin">
        <color auto="1"/>
      </bottom>
      <diagonal/>
    </border>
    <border>
      <left/>
      <right style="medium">
        <color auto="1"/>
      </right>
      <top/>
      <bottom style="medium">
        <color auto="1"/>
      </bottom>
      <diagonal/>
    </border>
    <border>
      <left style="thin">
        <color indexed="63"/>
      </left>
      <right style="thin">
        <color indexed="63"/>
      </right>
      <top style="thin">
        <color indexed="63"/>
      </top>
      <bottom/>
      <diagonal/>
    </border>
    <border>
      <left style="medium">
        <color auto="1"/>
      </left>
      <right/>
      <top style="thin">
        <color indexed="63"/>
      </top>
      <bottom/>
      <diagonal/>
    </border>
    <border>
      <left style="thin">
        <color auto="1"/>
      </left>
      <right style="medium">
        <color auto="1"/>
      </right>
      <top/>
      <bottom style="medium">
        <color auto="1"/>
      </bottom>
      <diagonal/>
    </border>
    <border>
      <left style="thin">
        <color auto="1"/>
      </left>
      <right/>
      <top/>
      <bottom style="thin">
        <color indexed="64"/>
      </bottom>
      <diagonal/>
    </border>
    <border>
      <left/>
      <right/>
      <top/>
      <bottom style="medium">
        <color auto="1"/>
      </bottom>
      <diagonal/>
    </border>
    <border>
      <left style="medium">
        <color auto="1"/>
      </left>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indexed="63"/>
      </right>
      <top style="medium">
        <color indexed="64"/>
      </top>
      <bottom style="thin">
        <color indexed="63"/>
      </bottom>
      <diagonal/>
    </border>
    <border>
      <left style="thin">
        <color indexed="63"/>
      </left>
      <right/>
      <top style="medium">
        <color auto="1"/>
      </top>
      <bottom style="thin">
        <color indexed="63"/>
      </bottom>
      <diagonal/>
    </border>
    <border>
      <left style="medium">
        <color auto="1"/>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style="medium">
        <color auto="1"/>
      </left>
      <right style="thin">
        <color auto="1"/>
      </right>
      <top style="thin">
        <color indexed="63"/>
      </top>
      <bottom style="thin">
        <color indexed="63"/>
      </bottom>
      <diagonal/>
    </border>
    <border>
      <left style="thin">
        <color auto="1"/>
      </left>
      <right style="thin">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right style="thin">
        <color auto="1"/>
      </right>
      <top/>
      <bottom style="thin">
        <color indexed="63"/>
      </bottom>
      <diagonal/>
    </border>
    <border>
      <left style="medium">
        <color auto="1"/>
      </left>
      <right style="thin">
        <color auto="1"/>
      </right>
      <top style="thin">
        <color indexed="63"/>
      </top>
      <bottom/>
      <diagonal/>
    </border>
    <border>
      <left style="thin">
        <color auto="1"/>
      </left>
      <right style="thin">
        <color auto="1"/>
      </right>
      <top style="thin">
        <color indexed="63"/>
      </top>
      <bottom/>
      <diagonal/>
    </border>
    <border>
      <left style="thin">
        <color auto="1"/>
      </left>
      <right style="medium">
        <color auto="1"/>
      </right>
      <top style="thin">
        <color indexed="63"/>
      </top>
      <bottom/>
      <diagonal/>
    </border>
    <border>
      <left/>
      <right style="thin">
        <color auto="1"/>
      </right>
      <top style="thin">
        <color indexed="63"/>
      </top>
      <bottom/>
      <diagonal/>
    </border>
    <border>
      <left style="medium">
        <color auto="1"/>
      </left>
      <right/>
      <top style="medium">
        <color indexed="63"/>
      </top>
      <bottom style="thin">
        <color indexed="63"/>
      </bottom>
      <diagonal/>
    </border>
    <border>
      <left/>
      <right/>
      <top style="medium">
        <color indexed="63"/>
      </top>
      <bottom style="thin">
        <color indexed="63"/>
      </bottom>
      <diagonal/>
    </border>
    <border>
      <left style="medium">
        <color auto="1"/>
      </left>
      <right/>
      <top style="thin">
        <color indexed="63"/>
      </top>
      <bottom/>
      <diagonal/>
    </border>
    <border>
      <left/>
      <right/>
      <top style="thin">
        <color indexed="63"/>
      </top>
      <bottom/>
      <diagonal/>
    </border>
    <border>
      <left/>
      <right style="thin">
        <color auto="1"/>
      </right>
      <top style="thin">
        <color auto="1"/>
      </top>
      <bottom/>
      <diagonal/>
    </border>
    <border>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medium">
        <color auto="1"/>
      </left>
      <right style="thin">
        <color indexed="63"/>
      </right>
      <top/>
      <bottom style="medium">
        <color auto="1"/>
      </bottom>
      <diagonal/>
    </border>
    <border>
      <left style="thin">
        <color indexed="63"/>
      </left>
      <right style="thin">
        <color indexed="63"/>
      </right>
      <top style="thin">
        <color indexed="63"/>
      </top>
      <bottom style="medium">
        <color auto="1"/>
      </bottom>
      <diagonal/>
    </border>
    <border>
      <left style="medium">
        <color auto="1"/>
      </left>
      <right style="thin">
        <color indexed="63"/>
      </right>
      <top style="medium">
        <color indexed="63"/>
      </top>
      <bottom style="medium">
        <color auto="1"/>
      </bottom>
      <diagonal/>
    </border>
    <border>
      <left style="thin">
        <color indexed="63"/>
      </left>
      <right style="thin">
        <color indexed="63"/>
      </right>
      <top style="medium">
        <color indexed="63"/>
      </top>
      <bottom style="medium">
        <color auto="1"/>
      </bottom>
      <diagonal/>
    </border>
    <border>
      <left style="medium">
        <color auto="1"/>
      </left>
      <right style="medium">
        <color auto="1"/>
      </right>
      <top style="medium">
        <color auto="1"/>
      </top>
      <bottom style="medium">
        <color indexed="64"/>
      </bottom>
      <diagonal/>
    </border>
    <border>
      <left style="medium">
        <color auto="1"/>
      </left>
      <right/>
      <top style="medium">
        <color indexed="64"/>
      </top>
      <bottom style="thin">
        <color indexed="63"/>
      </bottom>
      <diagonal/>
    </border>
    <border>
      <left/>
      <right/>
      <top style="medium">
        <color indexed="64"/>
      </top>
      <bottom style="thin">
        <color indexed="63"/>
      </bottom>
      <diagonal/>
    </border>
    <border>
      <left style="thin">
        <color indexed="63"/>
      </left>
      <right style="thin">
        <color indexed="63"/>
      </right>
      <top style="thin">
        <color indexed="63"/>
      </top>
      <bottom style="thin">
        <color auto="1"/>
      </bottom>
      <diagonal/>
    </border>
    <border>
      <left style="thin">
        <color auto="1"/>
      </left>
      <right style="thin">
        <color auto="1"/>
      </right>
      <top/>
      <bottom/>
      <diagonal/>
    </border>
    <border>
      <left style="medium">
        <color auto="1"/>
      </left>
      <right style="thin">
        <color indexed="63"/>
      </right>
      <top style="medium">
        <color indexed="64"/>
      </top>
      <bottom style="medium">
        <color auto="1"/>
      </bottom>
      <diagonal/>
    </border>
    <border>
      <left style="thin">
        <color indexed="63"/>
      </left>
      <right style="thin">
        <color indexed="63"/>
      </right>
      <top style="medium">
        <color indexed="64"/>
      </top>
      <bottom style="medium">
        <color auto="1"/>
      </bottom>
      <diagonal/>
    </border>
    <border>
      <left style="medium">
        <color auto="1"/>
      </left>
      <right style="thin">
        <color indexed="63"/>
      </right>
      <top style="thin">
        <color indexed="63"/>
      </top>
      <bottom style="thin">
        <color indexed="63"/>
      </bottom>
      <diagonal/>
    </border>
    <border>
      <left style="thin">
        <color indexed="63"/>
      </left>
      <right style="thin">
        <color indexed="63"/>
      </right>
      <top/>
      <bottom style="medium">
        <color auto="1"/>
      </bottom>
      <diagonal/>
    </border>
    <border>
      <left style="thin">
        <color indexed="63"/>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medium">
        <color auto="1"/>
      </left>
      <right style="thin">
        <color indexed="63"/>
      </right>
      <top style="medium">
        <color indexed="63"/>
      </top>
      <bottom style="medium">
        <color auto="1"/>
      </bottom>
      <diagonal/>
    </border>
    <border>
      <left style="thin">
        <color indexed="63"/>
      </left>
      <right style="thin">
        <color indexed="63"/>
      </right>
      <top style="medium">
        <color indexed="63"/>
      </top>
      <bottom style="medium">
        <color auto="1"/>
      </bottom>
      <diagonal/>
    </border>
    <border>
      <left style="thin">
        <color indexed="63"/>
      </left>
      <right/>
      <top style="medium">
        <color indexed="63"/>
      </top>
      <bottom style="medium">
        <color auto="1"/>
      </bottom>
      <diagonal/>
    </border>
    <border>
      <left style="medium">
        <color auto="1"/>
      </left>
      <right/>
      <top style="medium">
        <color auto="1"/>
      </top>
      <bottom style="thin">
        <color auto="1"/>
      </bottom>
      <diagonal/>
    </border>
    <border>
      <left style="thin">
        <color indexed="63"/>
      </left>
      <right style="thin">
        <color indexed="63"/>
      </right>
      <top style="thin">
        <color auto="1"/>
      </top>
      <bottom style="thin">
        <color indexed="63"/>
      </bottom>
      <diagonal/>
    </border>
    <border>
      <left/>
      <right style="thin">
        <color auto="1"/>
      </right>
      <top/>
      <bottom style="medium">
        <color indexed="63"/>
      </bottom>
      <diagonal/>
    </border>
    <border>
      <left style="medium">
        <color auto="1"/>
      </left>
      <right style="thin">
        <color indexed="63"/>
      </right>
      <top style="medium">
        <color auto="1"/>
      </top>
      <bottom style="medium">
        <color indexed="63"/>
      </bottom>
      <diagonal/>
    </border>
    <border>
      <left style="thin">
        <color indexed="63"/>
      </left>
      <right style="thin">
        <color indexed="63"/>
      </right>
      <top style="medium">
        <color auto="1"/>
      </top>
      <bottom style="medium">
        <color indexed="63"/>
      </bottom>
      <diagonal/>
    </border>
    <border>
      <left style="medium">
        <color auto="1"/>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thin">
        <color indexed="63"/>
      </right>
      <top style="medium">
        <color indexed="63"/>
      </top>
      <bottom style="thin">
        <color auto="1"/>
      </bottom>
      <diagonal/>
    </border>
    <border>
      <left style="medium">
        <color auto="1"/>
      </left>
      <right/>
      <top style="thin">
        <color indexed="64"/>
      </top>
      <bottom style="thin">
        <color indexed="63"/>
      </bottom>
      <diagonal/>
    </border>
    <border>
      <left/>
      <right style="thin">
        <color indexed="63"/>
      </right>
      <top style="thin">
        <color auto="1"/>
      </top>
      <bottom style="thin">
        <color indexed="63"/>
      </bottom>
      <diagonal/>
    </border>
    <border>
      <left style="medium">
        <color auto="1"/>
      </left>
      <right/>
      <top style="thin">
        <color indexed="63"/>
      </top>
      <bottom/>
      <diagonal/>
    </border>
    <border>
      <left/>
      <right/>
      <top style="thin">
        <color indexed="63"/>
      </top>
      <bottom/>
      <diagonal/>
    </border>
    <border>
      <left style="medium">
        <color auto="1"/>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thin">
        <color indexed="63"/>
      </right>
      <top style="thin">
        <color indexed="63"/>
      </top>
      <bottom style="thin">
        <color indexed="63"/>
      </bottom>
      <diagonal/>
    </border>
    <border>
      <left style="medium">
        <color auto="1"/>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4"/>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medium">
        <color auto="1"/>
      </left>
      <right style="thin">
        <color indexed="63"/>
      </right>
      <top/>
      <bottom style="medium">
        <color indexed="63"/>
      </bottom>
      <diagonal/>
    </border>
    <border>
      <left style="medium">
        <color auto="1"/>
      </left>
      <right style="thin">
        <color indexed="63"/>
      </right>
      <top style="thin">
        <color indexed="63"/>
      </top>
      <bottom style="thin">
        <color indexed="63"/>
      </bottom>
      <diagonal/>
    </border>
    <border>
      <left style="medium">
        <color auto="1"/>
      </left>
      <right/>
      <top style="thin">
        <color indexed="63"/>
      </top>
      <bottom/>
      <diagonal/>
    </border>
    <border>
      <left/>
      <right/>
      <top style="thin">
        <color indexed="63"/>
      </top>
      <bottom/>
      <diagonal/>
    </border>
    <border>
      <left style="medium">
        <color auto="1"/>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medium">
        <color indexed="64"/>
      </left>
      <right/>
      <top style="thin">
        <color indexed="63"/>
      </top>
      <bottom style="thin">
        <color indexed="63"/>
      </bottom>
      <diagonal/>
    </border>
    <border>
      <left/>
      <right style="thin">
        <color auto="1"/>
      </right>
      <top style="medium">
        <color auto="1"/>
      </top>
      <bottom style="thin">
        <color auto="1"/>
      </bottom>
      <diagonal/>
    </border>
    <border>
      <left style="thin">
        <color indexed="63"/>
      </left>
      <right style="thin">
        <color indexed="63"/>
      </right>
      <top/>
      <bottom style="thin">
        <color indexed="64"/>
      </bottom>
      <diagonal/>
    </border>
    <border>
      <left style="medium">
        <color indexed="64"/>
      </left>
      <right style="medium">
        <color auto="1"/>
      </right>
      <top style="thin">
        <color indexed="64"/>
      </top>
      <bottom/>
      <diagonal/>
    </border>
    <border>
      <left style="medium">
        <color indexed="64"/>
      </left>
      <right style="thin">
        <color indexed="63"/>
      </right>
      <top style="thin">
        <color indexed="64"/>
      </top>
      <bottom/>
      <diagonal/>
    </border>
    <border>
      <left style="thin">
        <color indexed="63"/>
      </left>
      <right style="thin">
        <color indexed="63"/>
      </right>
      <top style="thin">
        <color indexed="64"/>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style="thin">
        <color auto="1"/>
      </top>
      <bottom style="thin">
        <color indexed="63"/>
      </bottom>
      <diagonal/>
    </border>
    <border>
      <left style="medium">
        <color auto="1"/>
      </left>
      <right style="thin">
        <color indexed="63"/>
      </right>
      <top/>
      <bottom style="thin">
        <color auto="1"/>
      </bottom>
      <diagonal/>
    </border>
    <border>
      <left style="thin">
        <color indexed="63"/>
      </left>
      <right style="thin">
        <color indexed="63"/>
      </right>
      <top style="thin">
        <color indexed="63"/>
      </top>
      <bottom style="thin">
        <color auto="1"/>
      </bottom>
      <diagonal/>
    </border>
    <border>
      <left style="thin">
        <color indexed="63"/>
      </left>
      <right style="thin">
        <color indexed="63"/>
      </right>
      <top style="thin">
        <color indexed="63"/>
      </top>
      <bottom/>
      <diagonal/>
    </border>
    <border>
      <left style="medium">
        <color auto="1"/>
      </left>
      <right style="thin">
        <color indexed="63"/>
      </right>
      <top style="medium">
        <color indexed="63"/>
      </top>
      <bottom style="thin">
        <color indexed="64"/>
      </bottom>
      <diagonal/>
    </border>
    <border>
      <left style="medium">
        <color auto="1"/>
      </left>
      <right/>
      <top style="thin">
        <color indexed="63"/>
      </top>
      <bottom style="thin">
        <color auto="1"/>
      </bottom>
      <diagonal/>
    </border>
    <border>
      <left/>
      <right/>
      <top style="thin">
        <color indexed="63"/>
      </top>
      <bottom style="thin">
        <color auto="1"/>
      </bottom>
      <diagonal/>
    </border>
    <border>
      <left style="thin">
        <color indexed="64"/>
      </left>
      <right style="thin">
        <color indexed="63"/>
      </right>
      <top style="thin">
        <color indexed="63"/>
      </top>
      <bottom style="thin">
        <color indexed="64"/>
      </bottom>
      <diagonal/>
    </border>
    <border>
      <left style="medium">
        <color auto="1"/>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auto="1"/>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indexed="63"/>
      </right>
      <top style="medium">
        <color indexed="63"/>
      </top>
      <bottom style="medium">
        <color indexed="63"/>
      </bottom>
      <diagonal/>
    </border>
    <border>
      <left style="thin">
        <color indexed="63"/>
      </left>
      <right/>
      <top style="medium">
        <color indexed="63"/>
      </top>
      <bottom style="medium">
        <color indexed="63"/>
      </bottom>
      <diagonal/>
    </border>
    <border>
      <left style="medium">
        <color auto="1"/>
      </left>
      <right/>
      <top style="medium">
        <color indexed="63"/>
      </top>
      <bottom style="medium">
        <color auto="1"/>
      </bottom>
      <diagonal/>
    </border>
    <border>
      <left/>
      <right/>
      <top style="medium">
        <color indexed="63"/>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3"/>
      </left>
      <right style="medium">
        <color auto="1"/>
      </right>
      <top style="thin">
        <color indexed="63"/>
      </top>
      <bottom style="thin">
        <color indexed="63"/>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top style="thin">
        <color indexed="63"/>
      </top>
      <bottom/>
      <diagonal/>
    </border>
    <border>
      <left style="thin">
        <color auto="1"/>
      </left>
      <right/>
      <top/>
      <bottom style="medium">
        <color auto="1"/>
      </bottom>
      <diagonal/>
    </border>
    <border>
      <left style="thin">
        <color auto="1"/>
      </left>
      <right/>
      <top style="thin">
        <color auto="1"/>
      </top>
      <bottom/>
      <diagonal/>
    </border>
    <border>
      <left style="thin">
        <color auto="1"/>
      </left>
      <right/>
      <top style="double">
        <color auto="1"/>
      </top>
      <bottom style="double">
        <color auto="1"/>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style="thin">
        <color indexed="63"/>
      </bottom>
      <diagonal/>
    </border>
    <border>
      <left style="medium">
        <color auto="1"/>
      </left>
      <right style="thin">
        <color auto="1"/>
      </right>
      <top style="thin">
        <color indexed="63"/>
      </top>
      <bottom style="thin">
        <color indexed="63"/>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style="thin">
        <color auto="1"/>
      </right>
      <top/>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top style="thin">
        <color indexed="63"/>
      </top>
      <bottom style="thin">
        <color indexed="63"/>
      </bottom>
      <diagonal/>
    </border>
    <border>
      <left style="thin">
        <color indexed="63"/>
      </left>
      <right/>
      <top style="thin">
        <color indexed="63"/>
      </top>
      <bottom style="thin">
        <color indexed="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indexed="63"/>
      </top>
      <bottom style="thin">
        <color indexed="63"/>
      </bottom>
      <diagonal/>
    </border>
    <border>
      <left style="thin">
        <color auto="1"/>
      </left>
      <right style="thin">
        <color auto="1"/>
      </right>
      <top style="thin">
        <color indexed="63"/>
      </top>
      <bottom style="thin">
        <color indexed="63"/>
      </bottom>
      <diagonal/>
    </border>
    <border>
      <left/>
      <right style="thin">
        <color auto="1"/>
      </right>
      <top style="thin">
        <color auto="1"/>
      </top>
      <bottom style="thin">
        <color indexed="63"/>
      </bottom>
      <diagonal/>
    </border>
    <border>
      <left style="thin">
        <color auto="1"/>
      </left>
      <right style="thin">
        <color auto="1"/>
      </right>
      <top style="thin">
        <color auto="1"/>
      </top>
      <bottom style="thin">
        <color indexed="63"/>
      </bottom>
      <diagonal/>
    </border>
    <border>
      <left style="thin">
        <color indexed="63"/>
      </left>
      <right style="thin">
        <color indexed="63"/>
      </right>
      <top style="thin">
        <color indexed="63"/>
      </top>
      <bottom style="thin">
        <color auto="1"/>
      </bottom>
      <diagonal/>
    </border>
    <border>
      <left style="thin">
        <color indexed="63"/>
      </left>
      <right style="thin">
        <color indexed="63"/>
      </right>
      <top style="thin">
        <color indexed="63"/>
      </top>
      <bottom/>
      <diagonal/>
    </border>
    <border>
      <left style="medium">
        <color auto="1"/>
      </left>
      <right style="thin">
        <color auto="1"/>
      </right>
      <top style="thin">
        <color indexed="63"/>
      </top>
      <bottom/>
      <diagonal/>
    </border>
    <border>
      <left style="thin">
        <color auto="1"/>
      </left>
      <right style="thin">
        <color auto="1"/>
      </right>
      <top style="thin">
        <color indexed="63"/>
      </top>
      <bottom/>
      <diagonal/>
    </border>
    <border>
      <left/>
      <right style="thin">
        <color auto="1"/>
      </right>
      <top style="thin">
        <color indexed="63"/>
      </top>
      <bottom/>
      <diagonal/>
    </border>
    <border>
      <left style="thin">
        <color indexed="63"/>
      </left>
      <right style="thin">
        <color indexed="63"/>
      </right>
      <top style="thin">
        <color auto="1"/>
      </top>
      <bottom style="thin">
        <color indexed="63"/>
      </bottom>
      <diagonal/>
    </border>
    <border>
      <left style="thin">
        <color indexed="63"/>
      </left>
      <right style="thin">
        <color indexed="63"/>
      </right>
      <top style="thin">
        <color auto="1"/>
      </top>
      <bottom style="thin">
        <color auto="1"/>
      </bottom>
      <diagonal/>
    </border>
    <border>
      <left style="thin">
        <color indexed="63"/>
      </left>
      <right/>
      <top style="thin">
        <color indexed="63"/>
      </top>
      <bottom style="thin">
        <color auto="1"/>
      </bottom>
      <diagonal/>
    </border>
    <border>
      <left style="thin">
        <color indexed="64"/>
      </left>
      <right style="thin">
        <color indexed="63"/>
      </right>
      <top style="thin">
        <color indexed="63"/>
      </top>
      <bottom/>
      <diagonal/>
    </border>
    <border>
      <left style="medium">
        <color auto="1"/>
      </left>
      <right style="thin">
        <color auto="1"/>
      </right>
      <top style="thin">
        <color auto="1"/>
      </top>
      <bottom style="thin">
        <color auto="1"/>
      </bottom>
      <diagonal/>
    </border>
    <border>
      <left style="thin">
        <color indexed="63"/>
      </left>
      <right/>
      <top style="thin">
        <color indexed="63"/>
      </top>
      <bottom/>
      <diagonal/>
    </border>
    <border>
      <left/>
      <right/>
      <top style="thin">
        <color indexed="63"/>
      </top>
      <bottom/>
      <diagonal/>
    </border>
    <border>
      <left style="thin">
        <color auto="1"/>
      </left>
      <right/>
      <top style="thin">
        <color auto="1"/>
      </top>
      <bottom style="thin">
        <color auto="1"/>
      </bottom>
      <diagonal/>
    </border>
    <border>
      <left/>
      <right/>
      <top style="medium">
        <color indexed="63"/>
      </top>
      <bottom style="thin">
        <color indexed="63"/>
      </bottom>
      <diagonal/>
    </border>
    <border>
      <left style="thin">
        <color indexed="63"/>
      </left>
      <right/>
      <top style="thin">
        <color auto="1"/>
      </top>
      <bottom/>
      <diagonal/>
    </border>
    <border>
      <left style="thin">
        <color indexed="63"/>
      </left>
      <right/>
      <top style="thin">
        <color indexed="63"/>
      </top>
      <bottom style="medium">
        <color auto="1"/>
      </bottom>
      <diagonal/>
    </border>
    <border>
      <left style="medium">
        <color auto="1"/>
      </left>
      <right/>
      <top style="medium">
        <color auto="1"/>
      </top>
      <bottom style="medium">
        <color indexed="64"/>
      </bottom>
      <diagonal/>
    </border>
    <border>
      <left/>
      <right/>
      <top style="medium">
        <color indexed="64"/>
      </top>
      <bottom style="thin">
        <color indexed="63"/>
      </bottom>
      <diagonal/>
    </border>
    <border>
      <left style="thin">
        <color indexed="63"/>
      </left>
      <right/>
      <top style="medium">
        <color indexed="64"/>
      </top>
      <bottom style="medium">
        <color auto="1"/>
      </bottom>
      <diagonal/>
    </border>
    <border>
      <left style="thin">
        <color indexed="63"/>
      </left>
      <right/>
      <top style="thin">
        <color auto="1"/>
      </top>
      <bottom style="thin">
        <color indexed="63"/>
      </bottom>
      <diagonal/>
    </border>
    <border>
      <left style="thin">
        <color indexed="63"/>
      </left>
      <right/>
      <top style="medium">
        <color indexed="63"/>
      </top>
      <bottom style="medium">
        <color auto="1"/>
      </bottom>
      <diagonal/>
    </border>
    <border>
      <left style="thin">
        <color indexed="63"/>
      </left>
      <right/>
      <top style="medium">
        <color auto="1"/>
      </top>
      <bottom style="medium">
        <color indexed="63"/>
      </bottom>
      <diagonal/>
    </border>
    <border>
      <left style="thin">
        <color indexed="63"/>
      </left>
      <right/>
      <top style="medium">
        <color indexed="63"/>
      </top>
      <bottom/>
      <diagonal/>
    </border>
    <border>
      <left style="thin">
        <color indexed="63"/>
      </left>
      <right/>
      <top style="thin">
        <color indexed="64"/>
      </top>
      <bottom style="thin">
        <color indexed="63"/>
      </bottom>
      <diagonal/>
    </border>
    <border>
      <left style="thin">
        <color indexed="63"/>
      </left>
      <right/>
      <top style="medium">
        <color indexed="63"/>
      </top>
      <bottom style="medium">
        <color indexed="63"/>
      </bottom>
      <diagonal/>
    </border>
    <border>
      <left style="thin">
        <color indexed="63"/>
      </left>
      <right/>
      <top style="medium">
        <color indexed="64"/>
      </top>
      <bottom style="thin">
        <color indexed="63"/>
      </bottom>
      <diagonal/>
    </border>
    <border>
      <left style="thin">
        <color indexed="63"/>
      </left>
      <right/>
      <top/>
      <bottom style="thin">
        <color indexed="64"/>
      </bottom>
      <diagonal/>
    </border>
    <border>
      <left style="thin">
        <color indexed="63"/>
      </left>
      <right/>
      <top style="medium">
        <color indexed="63"/>
      </top>
      <bottom style="thin">
        <color indexed="64"/>
      </bottom>
      <diagonal/>
    </border>
    <border>
      <left/>
      <right/>
      <top style="thin">
        <color indexed="63"/>
      </top>
      <bottom style="thin">
        <color auto="1"/>
      </bottom>
      <diagonal/>
    </border>
    <border>
      <left style="thin">
        <color indexed="64"/>
      </left>
      <right/>
      <top style="medium">
        <color indexed="64"/>
      </top>
      <bottom style="medium">
        <color indexed="64"/>
      </bottom>
      <diagonal/>
    </border>
    <border>
      <left style="thin">
        <color indexed="64"/>
      </left>
      <right/>
      <top style="medium">
        <color auto="1"/>
      </top>
      <bottom style="thin">
        <color indexed="64"/>
      </bottom>
      <diagonal/>
    </border>
    <border>
      <left style="medium">
        <color indexed="63"/>
      </left>
      <right/>
      <top style="medium">
        <color indexed="63"/>
      </top>
      <bottom style="medium">
        <color indexed="63"/>
      </bottom>
      <diagonal/>
    </border>
    <border>
      <left/>
      <right/>
      <top style="medium">
        <color indexed="63"/>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ck">
        <color auto="1"/>
      </bottom>
      <diagonal/>
    </border>
    <border>
      <left/>
      <right style="thin">
        <color auto="1"/>
      </right>
      <top style="medium">
        <color indexed="63"/>
      </top>
      <bottom style="thin">
        <color indexed="63"/>
      </bottom>
      <diagonal/>
    </border>
    <border>
      <left/>
      <right style="thin">
        <color indexed="63"/>
      </right>
      <top style="thin">
        <color indexed="63"/>
      </top>
      <bottom style="thin">
        <color indexed="63"/>
      </bottom>
      <diagonal/>
    </border>
    <border>
      <left/>
      <right style="thin">
        <color auto="1"/>
      </right>
      <top style="medium">
        <color indexed="63"/>
      </top>
      <bottom style="medium">
        <color auto="1"/>
      </bottom>
      <diagonal/>
    </border>
    <border>
      <left/>
      <right style="thin">
        <color auto="1"/>
      </right>
      <top style="medium">
        <color auto="1"/>
      </top>
      <bottom style="medium">
        <color indexed="64"/>
      </bottom>
      <diagonal/>
    </border>
    <border>
      <left/>
      <right style="thin">
        <color auto="1"/>
      </right>
      <top style="thin">
        <color indexed="63"/>
      </top>
      <bottom style="thin">
        <color auto="1"/>
      </bottom>
      <diagonal/>
    </border>
    <border>
      <left/>
      <right style="thin">
        <color auto="1"/>
      </right>
      <top style="medium">
        <color indexed="63"/>
      </top>
      <bottom style="medium">
        <color indexed="63"/>
      </bottom>
      <diagonal/>
    </border>
    <border>
      <left/>
      <right style="thin">
        <color auto="1"/>
      </right>
      <top style="medium">
        <color indexed="63"/>
      </top>
      <bottom/>
      <diagonal/>
    </border>
    <border>
      <left/>
      <right style="thin">
        <color auto="1"/>
      </right>
      <top style="thin">
        <color indexed="64"/>
      </top>
      <bottom style="thin">
        <color indexed="63"/>
      </bottom>
      <diagonal/>
    </border>
    <border>
      <left/>
      <right style="thin">
        <color auto="1"/>
      </right>
      <top style="medium">
        <color indexed="63"/>
      </top>
      <bottom style="thin">
        <color indexed="64"/>
      </bottom>
      <diagonal/>
    </border>
    <border>
      <left/>
      <right style="thin">
        <color auto="1"/>
      </right>
      <top style="medium">
        <color indexed="64"/>
      </top>
      <bottom style="medium">
        <color auto="1"/>
      </bottom>
      <diagonal/>
    </border>
    <border>
      <left/>
      <right style="thin">
        <color indexed="64"/>
      </right>
      <top/>
      <bottom style="thin">
        <color indexed="64"/>
      </bottom>
      <diagonal/>
    </border>
    <border>
      <left/>
      <right style="thin">
        <color auto="1"/>
      </right>
      <top style="medium">
        <color auto="1"/>
      </top>
      <bottom style="thick">
        <color auto="1"/>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style="thin">
        <color indexed="63"/>
      </left>
      <right style="medium">
        <color indexed="63"/>
      </right>
      <top style="thin">
        <color indexed="63"/>
      </top>
      <bottom/>
      <diagonal/>
    </border>
    <border>
      <left style="medium">
        <color indexed="63"/>
      </left>
      <right style="thin">
        <color indexed="63"/>
      </right>
      <top/>
      <bottom style="thin">
        <color auto="1"/>
      </bottom>
      <diagonal/>
    </border>
    <border>
      <left style="thin">
        <color indexed="63"/>
      </left>
      <right style="thin">
        <color indexed="63"/>
      </right>
      <top/>
      <bottom style="thin">
        <color auto="1"/>
      </bottom>
      <diagonal/>
    </border>
    <border>
      <left style="thin">
        <color indexed="63"/>
      </left>
      <right style="thin">
        <color indexed="63"/>
      </right>
      <top style="thin">
        <color indexed="64"/>
      </top>
      <bottom style="thin">
        <color indexed="63"/>
      </bottom>
      <diagonal/>
    </border>
    <border>
      <left style="medium">
        <color indexed="63"/>
      </left>
      <right style="thin">
        <color indexed="63"/>
      </right>
      <top style="thin">
        <color indexed="63"/>
      </top>
      <bottom style="thin">
        <color indexed="63"/>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medium">
        <color indexed="63"/>
      </top>
      <bottom style="medium">
        <color auto="1"/>
      </bottom>
      <diagonal/>
    </border>
    <border>
      <left style="medium">
        <color indexed="63"/>
      </left>
      <right style="thin">
        <color indexed="63"/>
      </right>
      <top style="medium">
        <color auto="1"/>
      </top>
      <bottom style="medium">
        <color auto="1"/>
      </bottom>
      <diagonal/>
    </border>
    <border>
      <left style="thin">
        <color indexed="63"/>
      </left>
      <right style="thin">
        <color indexed="63"/>
      </right>
      <top style="medium">
        <color auto="1"/>
      </top>
      <bottom style="medium">
        <color indexed="64"/>
      </bottom>
      <diagonal/>
    </border>
    <border>
      <left style="thin">
        <color indexed="63"/>
      </left>
      <right style="medium">
        <color indexed="63"/>
      </right>
      <top style="medium">
        <color auto="1"/>
      </top>
      <bottom style="medium">
        <color indexed="64"/>
      </bottom>
      <diagonal/>
    </border>
    <border>
      <left style="thin">
        <color indexed="63"/>
      </left>
      <right style="medium">
        <color indexed="63"/>
      </right>
      <top/>
      <bottom style="thin">
        <color indexed="63"/>
      </bottom>
      <diagonal/>
    </border>
    <border>
      <left style="medium">
        <color indexed="63"/>
      </left>
      <right style="thin">
        <color indexed="63"/>
      </right>
      <top style="thin">
        <color indexed="63"/>
      </top>
      <bottom/>
      <diagonal/>
    </border>
    <border>
      <left style="thin">
        <color indexed="63"/>
      </left>
      <right style="medium">
        <color indexed="63"/>
      </right>
      <top/>
      <bottom style="thin">
        <color auto="1"/>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style="thin">
        <color indexed="64"/>
      </bottom>
      <diagonal/>
    </border>
    <border>
      <left style="medium">
        <color indexed="63"/>
      </left>
      <right style="thin">
        <color indexed="63"/>
      </right>
      <top/>
      <bottom style="medium">
        <color auto="1"/>
      </bottom>
      <diagonal/>
    </border>
    <border>
      <left style="medium">
        <color indexed="63"/>
      </left>
      <right style="thin">
        <color indexed="63"/>
      </right>
      <top style="thin">
        <color indexed="63"/>
      </top>
      <bottom style="thin">
        <color auto="1"/>
      </bottom>
      <diagonal/>
    </border>
    <border>
      <left style="medium">
        <color indexed="63"/>
      </left>
      <right style="thin">
        <color indexed="63"/>
      </right>
      <top style="thin">
        <color auto="1"/>
      </top>
      <bottom style="thin">
        <color auto="1"/>
      </bottom>
      <diagonal/>
    </border>
    <border>
      <left style="medium">
        <color indexed="63"/>
      </left>
      <right style="thin">
        <color indexed="63"/>
      </right>
      <top style="thin">
        <color auto="1"/>
      </top>
      <bottom style="medium">
        <color auto="1"/>
      </bottom>
      <diagonal/>
    </border>
    <border>
      <left style="thin">
        <color indexed="63"/>
      </left>
      <right style="medium">
        <color indexed="63"/>
      </right>
      <top/>
      <bottom style="thin">
        <color indexed="63"/>
      </bottom>
      <diagonal/>
    </border>
    <border>
      <left style="medium">
        <color indexed="63"/>
      </left>
      <right style="thin">
        <color indexed="63"/>
      </right>
      <top style="thin">
        <color auto="1"/>
      </top>
      <bottom style="thin">
        <color indexed="63"/>
      </bottom>
      <diagonal/>
    </border>
    <border>
      <left style="medium">
        <color indexed="63"/>
      </left>
      <right style="thin">
        <color indexed="63"/>
      </right>
      <top/>
      <bottom style="thin">
        <color auto="1"/>
      </bottom>
      <diagonal/>
    </border>
    <border>
      <left style="medium">
        <color indexed="63"/>
      </left>
      <right style="thin">
        <color indexed="63"/>
      </right>
      <top style="thin">
        <color indexed="64"/>
      </top>
      <bottom/>
      <diagonal/>
    </border>
    <border>
      <left style="thin">
        <color indexed="63"/>
      </left>
      <right style="thin">
        <color indexed="63"/>
      </right>
      <top style="thin">
        <color auto="1"/>
      </top>
      <bottom/>
      <diagonal/>
    </border>
    <border>
      <left style="thin">
        <color indexed="63"/>
      </left>
      <right style="medium">
        <color indexed="63"/>
      </right>
      <top style="thin">
        <color auto="1"/>
      </top>
      <bottom/>
      <diagonal/>
    </border>
    <border>
      <left style="medium">
        <color indexed="63"/>
      </left>
      <right style="thin">
        <color indexed="63"/>
      </right>
      <top style="medium">
        <color auto="1"/>
      </top>
      <bottom style="medium">
        <color indexed="63"/>
      </bottom>
      <diagonal/>
    </border>
    <border>
      <left style="medium">
        <color indexed="63"/>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thin">
        <color indexed="63"/>
      </left>
      <right style="medium">
        <color indexed="63"/>
      </right>
      <top style="thin">
        <color auto="1"/>
      </top>
      <bottom style="thin">
        <color indexed="63"/>
      </bottom>
      <diagonal/>
    </border>
    <border>
      <left style="medium">
        <color indexed="63"/>
      </left>
      <right style="thin">
        <color indexed="63"/>
      </right>
      <top style="medium">
        <color indexed="63"/>
      </top>
      <bottom style="medium">
        <color indexed="63"/>
      </bottom>
      <diagonal/>
    </border>
    <border>
      <left style="thin">
        <color indexed="63"/>
      </left>
      <right style="thin">
        <color indexed="63"/>
      </right>
      <top style="thin">
        <color auto="1"/>
      </top>
      <bottom style="medium">
        <color indexed="63"/>
      </bottom>
      <diagonal/>
    </border>
    <border>
      <left style="medium">
        <color indexed="63"/>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style="medium">
        <color indexed="63"/>
      </right>
      <top style="medium">
        <color indexed="64"/>
      </top>
      <bottom style="thin">
        <color indexed="63"/>
      </bottom>
      <diagonal/>
    </border>
    <border>
      <left style="medium">
        <color indexed="63"/>
      </left>
      <right style="thin">
        <color indexed="63"/>
      </right>
      <top style="thin">
        <color auto="1"/>
      </top>
      <bottom/>
      <diagonal/>
    </border>
    <border>
      <left style="medium">
        <color indexed="63"/>
      </left>
      <right style="thin">
        <color indexed="63"/>
      </right>
      <top style="medium">
        <color auto="1"/>
      </top>
      <bottom style="thin">
        <color auto="1"/>
      </bottom>
      <diagonal/>
    </border>
    <border>
      <left style="thin">
        <color indexed="63"/>
      </left>
      <right style="thin">
        <color indexed="63"/>
      </right>
      <top style="medium">
        <color auto="1"/>
      </top>
      <bottom style="thin">
        <color auto="1"/>
      </bottom>
      <diagonal/>
    </border>
    <border>
      <left style="medium">
        <color indexed="63"/>
      </left>
      <right style="thin">
        <color indexed="63"/>
      </right>
      <top style="thin">
        <color indexed="64"/>
      </top>
      <bottom style="thin">
        <color indexed="63"/>
      </bottom>
      <diagonal/>
    </border>
    <border>
      <left style="medium">
        <color indexed="63"/>
      </left>
      <right style="thin">
        <color indexed="63"/>
      </right>
      <top/>
      <bottom style="medium">
        <color indexed="63"/>
      </bottom>
      <diagonal/>
    </border>
    <border>
      <left style="medium">
        <color indexed="63"/>
      </left>
      <right style="thin">
        <color indexed="63"/>
      </right>
      <top style="medium">
        <color indexed="63"/>
      </top>
      <bottom style="thin">
        <color indexed="64"/>
      </bottom>
      <diagonal/>
    </border>
    <border>
      <left style="thin">
        <color indexed="63"/>
      </left>
      <right style="thin">
        <color indexed="63"/>
      </right>
      <top style="medium">
        <color indexed="63"/>
      </top>
      <bottom style="thin">
        <color indexed="64"/>
      </bottom>
      <diagonal/>
    </border>
    <border>
      <left style="thin">
        <color indexed="63"/>
      </left>
      <right style="medium">
        <color indexed="63"/>
      </right>
      <top style="medium">
        <color indexed="63"/>
      </top>
      <bottom style="thin">
        <color indexed="64"/>
      </bottom>
      <diagonal/>
    </border>
    <border>
      <left style="thin">
        <color indexed="63"/>
      </left>
      <right style="medium">
        <color indexed="63"/>
      </right>
      <top style="thin">
        <color indexed="63"/>
      </top>
      <bottom style="thin">
        <color auto="1"/>
      </bottom>
      <diagonal/>
    </border>
    <border>
      <left style="thin">
        <color indexed="63"/>
      </left>
      <right style="medium">
        <color indexed="63"/>
      </right>
      <top style="medium">
        <color auto="1"/>
      </top>
      <bottom style="thin">
        <color auto="1"/>
      </bottom>
      <diagonal/>
    </border>
    <border>
      <left style="medium">
        <color indexed="63"/>
      </left>
      <right style="thin">
        <color indexed="63"/>
      </right>
      <top/>
      <bottom style="thin">
        <color indexed="64"/>
      </bottom>
      <diagonal/>
    </border>
    <border>
      <left style="thin">
        <color indexed="63"/>
      </left>
      <right style="thin">
        <color indexed="63"/>
      </right>
      <top/>
      <bottom style="thin">
        <color indexed="64"/>
      </bottom>
      <diagonal/>
    </border>
    <border>
      <left style="medium">
        <color indexed="63"/>
      </left>
      <right style="thin">
        <color indexed="63"/>
      </right>
      <top style="medium">
        <color auto="1"/>
      </top>
      <bottom style="medium">
        <color auto="1"/>
      </bottom>
      <diagonal/>
    </border>
    <border>
      <left style="thin">
        <color indexed="63"/>
      </left>
      <right style="thin">
        <color indexed="63"/>
      </right>
      <top style="medium">
        <color auto="1"/>
      </top>
      <bottom style="medium">
        <color auto="1"/>
      </bottom>
      <diagonal/>
    </border>
    <border>
      <left style="thin">
        <color indexed="63"/>
      </left>
      <right style="medium">
        <color indexed="63"/>
      </right>
      <top style="medium">
        <color auto="1"/>
      </top>
      <bottom style="medium">
        <color indexed="64"/>
      </bottom>
      <diagonal/>
    </border>
    <border>
      <left style="medium">
        <color indexed="63"/>
      </left>
      <right style="thin">
        <color indexed="63"/>
      </right>
      <top style="medium">
        <color auto="1"/>
      </top>
      <bottom style="thick">
        <color auto="1"/>
      </bottom>
      <diagonal/>
    </border>
    <border>
      <left style="thin">
        <color indexed="63"/>
      </left>
      <right style="thin">
        <color indexed="63"/>
      </right>
      <top style="medium">
        <color auto="1"/>
      </top>
      <bottom style="thick">
        <color auto="1"/>
      </bottom>
      <diagonal/>
    </border>
    <border>
      <left style="thin">
        <color indexed="63"/>
      </left>
      <right style="medium">
        <color indexed="63"/>
      </right>
      <top style="medium">
        <color auto="1"/>
      </top>
      <bottom style="thick">
        <color auto="1"/>
      </bottom>
      <diagonal/>
    </border>
    <border>
      <left/>
      <right/>
      <top/>
      <bottom style="thin">
        <color indexed="63"/>
      </bottom>
      <diagonal/>
    </border>
    <border>
      <left style="thin">
        <color indexed="63"/>
      </left>
      <right/>
      <top/>
      <bottom style="thin">
        <color indexed="63"/>
      </bottom>
      <diagonal/>
    </border>
    <border>
      <left style="thin">
        <color auto="1"/>
      </left>
      <right style="thin">
        <color auto="1"/>
      </right>
      <top/>
      <bottom style="thin">
        <color indexed="63"/>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indexed="63"/>
      </bottom>
      <diagonal/>
    </border>
    <border>
      <left style="medium">
        <color auto="1"/>
      </left>
      <right style="thin">
        <color auto="1"/>
      </right>
      <top style="thin">
        <color indexed="63"/>
      </top>
      <bottom style="thin">
        <color auto="1"/>
      </bottom>
      <diagonal/>
    </border>
    <border>
      <left style="thin">
        <color auto="1"/>
      </left>
      <right style="thin">
        <color auto="1"/>
      </right>
      <top style="thin">
        <color indexed="63"/>
      </top>
      <bottom style="thin">
        <color auto="1"/>
      </bottom>
      <diagonal/>
    </border>
    <border>
      <left style="medium">
        <color auto="1"/>
      </left>
      <right style="thin">
        <color auto="1"/>
      </right>
      <top style="thin">
        <color auto="1"/>
      </top>
      <bottom style="thin">
        <color indexed="63"/>
      </bottom>
      <diagonal/>
    </border>
    <border>
      <left style="medium">
        <color auto="1"/>
      </left>
      <right style="thin">
        <color auto="1"/>
      </right>
      <top/>
      <bottom style="medium">
        <color auto="1"/>
      </bottom>
      <diagonal/>
    </border>
    <border>
      <left style="medium">
        <color auto="1"/>
      </left>
      <right style="thin">
        <color auto="1"/>
      </right>
      <top/>
      <bottom style="thin">
        <color indexed="64"/>
      </bottom>
      <diagonal/>
    </border>
    <border>
      <left style="thin">
        <color auto="1"/>
      </left>
      <right style="thin">
        <color auto="1"/>
      </right>
      <top/>
      <bottom style="thin">
        <color indexed="64"/>
      </bottom>
      <diagonal/>
    </border>
    <border>
      <left style="medium">
        <color auto="1"/>
      </left>
      <right style="thin">
        <color auto="1"/>
      </right>
      <top style="thin">
        <color indexed="64"/>
      </top>
      <bottom style="thin">
        <color indexed="63"/>
      </bottom>
      <diagonal/>
    </border>
    <border>
      <left style="thin">
        <color auto="1"/>
      </left>
      <right style="thin">
        <color auto="1"/>
      </right>
      <top/>
      <bottom style="thin">
        <color auto="1"/>
      </bottom>
      <diagonal/>
    </border>
    <border>
      <left style="medium">
        <color auto="1"/>
      </left>
      <right style="thin">
        <color auto="1"/>
      </right>
      <top style="thin">
        <color indexed="63"/>
      </top>
      <bottom style="thin">
        <color indexed="64"/>
      </bottom>
      <diagonal/>
    </border>
    <border>
      <left style="medium">
        <color auto="1"/>
      </left>
      <right style="thin">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3"/>
      </left>
      <right style="thin">
        <color auto="1"/>
      </right>
      <top style="thin">
        <color indexed="63"/>
      </top>
      <bottom style="medium">
        <color auto="1"/>
      </bottom>
      <diagonal/>
    </border>
    <border>
      <left style="medium">
        <color indexed="63"/>
      </left>
      <right style="thin">
        <color auto="1"/>
      </right>
      <top style="thin">
        <color indexed="63"/>
      </top>
      <bottom style="thin">
        <color indexed="63"/>
      </bottom>
      <diagonal/>
    </border>
    <border>
      <left style="medium">
        <color indexed="64"/>
      </left>
      <right/>
      <top style="thin">
        <color indexed="63"/>
      </top>
      <bottom style="thin">
        <color indexed="63"/>
      </bottom>
      <diagonal/>
    </border>
    <border>
      <left/>
      <right/>
      <top style="thin">
        <color indexed="63"/>
      </top>
      <bottom style="thin">
        <color indexed="63"/>
      </bottom>
      <diagonal/>
    </border>
    <border>
      <left style="medium">
        <color auto="1"/>
      </left>
      <right/>
      <top/>
      <bottom style="thin">
        <color indexed="63"/>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indexed="63"/>
      </top>
      <bottom style="thin">
        <color indexed="63"/>
      </bottom>
      <diagonal/>
    </border>
    <border>
      <left/>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auto="1"/>
      </left>
      <right/>
      <top style="thin">
        <color indexed="63"/>
      </top>
      <bottom style="thin">
        <color indexed="63"/>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medium">
        <color indexed="63"/>
      </top>
      <bottom style="medium">
        <color indexed="63"/>
      </bottom>
      <diagonal/>
    </border>
    <border>
      <left style="thin">
        <color auto="1"/>
      </left>
      <right style="thin">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n">
        <color indexed="64"/>
      </left>
      <right/>
      <top style="medium">
        <color indexed="64"/>
      </top>
      <bottom style="medium">
        <color indexed="64"/>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auto="1"/>
      </left>
      <right style="medium">
        <color auto="1"/>
      </right>
      <top style="medium">
        <color indexed="63"/>
      </top>
      <bottom style="medium">
        <color indexed="63"/>
      </bottom>
      <diagonal/>
    </border>
    <border>
      <left style="thin">
        <color indexed="63"/>
      </left>
      <right style="thin">
        <color indexed="63"/>
      </right>
      <top style="thin">
        <color indexed="63"/>
      </top>
      <bottom/>
      <diagonal/>
    </border>
    <border>
      <left style="medium">
        <color auto="1"/>
      </left>
      <right style="medium">
        <color auto="1"/>
      </right>
      <top/>
      <bottom style="thin">
        <color auto="1"/>
      </bottom>
      <diagonal/>
    </border>
    <border>
      <left style="medium">
        <color auto="1"/>
      </left>
      <right style="medium">
        <color auto="1"/>
      </right>
      <top style="medium">
        <color indexed="63"/>
      </top>
      <bottom style="medium">
        <color indexed="63"/>
      </bottom>
      <diagonal/>
    </border>
    <border>
      <left style="thin">
        <color indexed="63"/>
      </left>
      <right style="thin">
        <color indexed="63"/>
      </right>
      <top style="thin">
        <color indexed="63"/>
      </top>
      <bottom/>
      <diagonal/>
    </border>
    <border>
      <left style="thin">
        <color indexed="63"/>
      </left>
      <right style="thin">
        <color indexed="63"/>
      </right>
      <top/>
      <bottom style="thin">
        <color indexed="63"/>
      </bottom>
      <diagonal/>
    </border>
    <border>
      <left style="medium">
        <color auto="1"/>
      </left>
      <right style="medium">
        <color auto="1"/>
      </right>
      <top/>
      <bottom style="thin">
        <color auto="1"/>
      </bottom>
      <diagonal/>
    </border>
    <border>
      <left style="thin">
        <color indexed="63"/>
      </left>
      <right style="thin">
        <color indexed="63"/>
      </right>
      <top style="thin">
        <color indexed="63"/>
      </top>
      <bottom/>
      <diagonal/>
    </border>
    <border>
      <left style="medium">
        <color auto="1"/>
      </left>
      <right style="medium">
        <color auto="1"/>
      </right>
      <top style="thin">
        <color auto="1"/>
      </top>
      <bottom/>
      <diagonal/>
    </border>
    <border>
      <left style="thin">
        <color indexed="63"/>
      </left>
      <right style="thin">
        <color indexed="63"/>
      </right>
      <top/>
      <bottom style="thin">
        <color indexed="63"/>
      </bottom>
      <diagonal/>
    </border>
    <border>
      <left style="thin">
        <color indexed="64"/>
      </left>
      <right style="thin">
        <color indexed="64"/>
      </right>
      <top/>
      <bottom style="thin">
        <color indexed="64"/>
      </bottom>
      <diagonal/>
    </border>
    <border>
      <left style="medium">
        <color auto="1"/>
      </left>
      <right style="medium">
        <color auto="1"/>
      </right>
      <top/>
      <bottom style="thin">
        <color auto="1"/>
      </bottom>
      <diagonal/>
    </border>
    <border>
      <left style="thin">
        <color auto="1"/>
      </left>
      <right/>
      <top style="thin">
        <color indexed="63"/>
      </top>
      <bottom style="thin">
        <color indexed="63"/>
      </bottom>
      <diagonal/>
    </border>
    <border>
      <left style="thin">
        <color auto="1"/>
      </left>
      <right/>
      <top style="thin">
        <color indexed="63"/>
      </top>
      <bottom/>
      <diagonal/>
    </border>
    <border>
      <left style="thin">
        <color auto="1"/>
      </left>
      <right/>
      <top style="medium">
        <color indexed="63"/>
      </top>
      <bottom style="thin">
        <color indexed="63"/>
      </bottom>
      <diagonal/>
    </border>
    <border>
      <left style="thin">
        <color auto="1"/>
      </left>
      <right/>
      <top/>
      <bottom style="thin">
        <color auto="1"/>
      </bottom>
      <diagonal/>
    </border>
    <border>
      <left style="thin">
        <color indexed="63"/>
      </left>
      <right/>
      <top style="thin">
        <color indexed="63"/>
      </top>
      <bottom style="thin">
        <color indexed="63"/>
      </bottom>
      <diagonal/>
    </border>
    <border>
      <left style="thin">
        <color auto="1"/>
      </left>
      <right/>
      <top/>
      <bottom style="thin">
        <color indexed="63"/>
      </bottom>
      <diagonal/>
    </border>
    <border>
      <left style="thin">
        <color auto="1"/>
      </left>
      <right/>
      <top style="thin">
        <color indexed="63"/>
      </top>
      <bottom style="medium">
        <color auto="1"/>
      </bottom>
      <diagonal/>
    </border>
    <border>
      <left style="thin">
        <color auto="1"/>
      </left>
      <right/>
      <top style="medium">
        <color indexed="63"/>
      </top>
      <bottom style="medium">
        <color auto="1"/>
      </bottom>
      <diagonal/>
    </border>
    <border>
      <left style="thin">
        <color auto="1"/>
      </left>
      <right/>
      <top style="thin">
        <color indexed="63"/>
      </top>
      <bottom style="thin">
        <color auto="1"/>
      </bottom>
      <diagonal/>
    </border>
    <border>
      <left style="thin">
        <color auto="1"/>
      </left>
      <right/>
      <top style="thin">
        <color auto="1"/>
      </top>
      <bottom style="thin">
        <color indexed="63"/>
      </bottom>
      <diagonal/>
    </border>
    <border>
      <left style="medium">
        <color indexed="63"/>
      </left>
      <right/>
      <top style="medium">
        <color indexed="63"/>
      </top>
      <bottom style="medium">
        <color auto="1"/>
      </bottom>
      <diagonal/>
    </border>
    <border>
      <left style="thin">
        <color indexed="63"/>
      </left>
      <right/>
      <top style="thin">
        <color auto="1"/>
      </top>
      <bottom style="thin">
        <color indexed="63"/>
      </bottom>
      <diagonal/>
    </border>
    <border>
      <left style="thin">
        <color auto="1"/>
      </left>
      <right/>
      <top style="thin">
        <color indexed="63"/>
      </top>
      <bottom style="thin">
        <color indexed="63"/>
      </bottom>
      <diagonal/>
    </border>
    <border>
      <left style="thin">
        <color auto="1"/>
      </left>
      <right/>
      <top style="medium">
        <color indexed="63"/>
      </top>
      <bottom style="medium">
        <color indexed="63"/>
      </bottom>
      <diagonal/>
    </border>
    <border>
      <left style="thin">
        <color auto="1"/>
      </left>
      <right/>
      <top style="medium">
        <color indexed="63"/>
      </top>
      <bottom/>
      <diagonal/>
    </border>
    <border>
      <left style="thin">
        <color auto="1"/>
      </left>
      <right/>
      <top style="thin">
        <color indexed="63"/>
      </top>
      <bottom/>
      <diagonal/>
    </border>
    <border>
      <left style="thin">
        <color indexed="63"/>
      </left>
      <right/>
      <top style="thin">
        <color indexed="63"/>
      </top>
      <bottom style="thin">
        <color indexed="63"/>
      </bottom>
      <diagonal/>
    </border>
    <border>
      <left style="thin">
        <color auto="1"/>
      </left>
      <right/>
      <top style="thin">
        <color indexed="63"/>
      </top>
      <bottom style="medium">
        <color auto="1"/>
      </bottom>
      <diagonal/>
    </border>
    <border>
      <left style="thin">
        <color auto="1"/>
      </left>
      <right/>
      <top style="thin">
        <color indexed="63"/>
      </top>
      <bottom style="medium">
        <color indexed="63"/>
      </bottom>
      <diagonal/>
    </border>
    <border>
      <left style="thin">
        <color auto="1"/>
      </left>
      <right/>
      <top style="thin">
        <color indexed="64"/>
      </top>
      <bottom style="thin">
        <color indexed="63"/>
      </bottom>
      <diagonal/>
    </border>
    <border>
      <left style="thin">
        <color auto="1"/>
      </left>
      <right/>
      <top style="thin">
        <color indexed="63"/>
      </top>
      <bottom style="thin">
        <color auto="1"/>
      </bottom>
      <diagonal/>
    </border>
    <border>
      <left style="thin">
        <color auto="1"/>
      </left>
      <right/>
      <top style="thin">
        <color auto="1"/>
      </top>
      <bottom style="thin">
        <color auto="1"/>
      </bottom>
      <diagonal/>
    </border>
    <border>
      <left style="thin">
        <color auto="1"/>
      </left>
      <right/>
      <top/>
      <bottom style="medium">
        <color indexed="63"/>
      </bottom>
      <diagonal/>
    </border>
    <border>
      <left style="thin">
        <color auto="1"/>
      </left>
      <right/>
      <top style="medium">
        <color indexed="63"/>
      </top>
      <bottom style="thin">
        <color indexed="64"/>
      </bottom>
      <diagonal/>
    </border>
    <border>
      <left style="thin">
        <color indexed="63"/>
      </left>
      <right/>
      <top style="thin">
        <color indexed="63"/>
      </top>
      <bottom style="thin">
        <color indexed="64"/>
      </bottom>
      <diagonal/>
    </border>
    <border>
      <left style="thin">
        <color indexed="64"/>
      </left>
      <right/>
      <top/>
      <bottom style="thin">
        <color indexed="64"/>
      </bottom>
      <diagonal/>
    </border>
    <border>
      <left style="thin">
        <color auto="1"/>
      </left>
      <right/>
      <top style="medium">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style="thin">
        <color auto="1"/>
      </right>
      <top style="thin">
        <color indexed="63"/>
      </top>
      <bottom/>
      <diagonal/>
    </border>
    <border>
      <left style="thin">
        <color auto="1"/>
      </left>
      <right style="medium">
        <color auto="1"/>
      </right>
      <top style="thin">
        <color indexed="63"/>
      </top>
      <bottom/>
      <diagonal/>
    </border>
    <border>
      <left style="thin">
        <color auto="1"/>
      </left>
      <right style="thin">
        <color auto="1"/>
      </right>
      <top style="thin">
        <color indexed="63"/>
      </top>
      <bottom/>
      <diagonal/>
    </border>
    <border>
      <left style="medium">
        <color auto="1"/>
      </left>
      <right style="thin">
        <color auto="1"/>
      </right>
      <top style="thin">
        <color indexed="63"/>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indexed="63"/>
      </top>
      <bottom/>
      <diagonal/>
    </border>
    <border>
      <left style="thin">
        <color auto="1"/>
      </left>
      <right style="medium">
        <color auto="1"/>
      </right>
      <top style="thin">
        <color indexed="63"/>
      </top>
      <bottom style="thin">
        <color auto="1"/>
      </bottom>
      <diagonal/>
    </border>
    <border>
      <left style="medium">
        <color auto="1"/>
      </left>
      <right style="thin">
        <color auto="1"/>
      </right>
      <top style="thin">
        <color indexed="63"/>
      </top>
      <bottom style="thin">
        <color auto="1"/>
      </bottom>
      <diagonal/>
    </border>
    <border>
      <left style="thin">
        <color auto="1"/>
      </left>
      <right style="thin">
        <color auto="1"/>
      </right>
      <top style="thin">
        <color indexed="63"/>
      </top>
      <bottom style="thin">
        <color auto="1"/>
      </bottom>
      <diagonal/>
    </border>
    <border>
      <left style="thin">
        <color auto="1"/>
      </left>
      <right/>
      <top style="thin">
        <color indexed="63"/>
      </top>
      <bottom style="thin">
        <color auto="1"/>
      </bottom>
      <diagonal/>
    </border>
    <border>
      <left style="thin">
        <color indexed="63"/>
      </left>
      <right style="medium">
        <color indexed="63"/>
      </right>
      <top style="thin">
        <color indexed="63"/>
      </top>
      <bottom style="thin">
        <color indexed="63"/>
      </bottom>
      <diagonal/>
    </border>
    <border>
      <left style="thin">
        <color indexed="63"/>
      </left>
      <right style="thin">
        <color indexed="63"/>
      </right>
      <top/>
      <bottom/>
      <diagonal/>
    </border>
    <border>
      <left style="thin">
        <color indexed="63"/>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right style="thin">
        <color auto="1"/>
      </right>
      <top/>
      <bottom style="thin">
        <color indexed="63"/>
      </bottom>
      <diagonal/>
    </border>
    <border>
      <left style="thin">
        <color auto="1"/>
      </left>
      <right/>
      <top/>
      <bottom style="thin">
        <color indexed="63"/>
      </bottom>
      <diagonal/>
    </border>
    <border>
      <left/>
      <right style="thin">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style="thin">
        <color indexed="63"/>
      </left>
      <right/>
      <top/>
      <bottom style="thin">
        <color auto="1"/>
      </bottom>
      <diagonal/>
    </border>
    <border>
      <left style="thin">
        <color indexed="63"/>
      </left>
      <right/>
      <top/>
      <bottom/>
      <diagonal/>
    </border>
    <border>
      <left style="thin">
        <color indexed="63"/>
      </left>
      <right style="medium">
        <color auto="1"/>
      </right>
      <top style="thin">
        <color indexed="63"/>
      </top>
      <bottom style="thin">
        <color indexed="63"/>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indexed="63"/>
      </left>
      <right/>
      <top/>
      <bottom style="thin">
        <color indexed="63"/>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bottom/>
      <diagonal/>
    </border>
    <border>
      <left style="thin">
        <color indexed="64"/>
      </left>
      <right style="medium">
        <color indexed="64"/>
      </right>
      <top/>
      <bottom style="medium">
        <color indexed="63"/>
      </bottom>
      <diagonal/>
    </border>
    <border>
      <left/>
      <right style="medium">
        <color indexed="64"/>
      </right>
      <top/>
      <bottom style="medium">
        <color indexed="63"/>
      </bottom>
      <diagonal/>
    </border>
    <border>
      <left style="thin">
        <color indexed="63"/>
      </left>
      <right/>
      <top style="thin">
        <color indexed="63"/>
      </top>
      <bottom style="thin">
        <color indexed="63"/>
      </bottom>
      <diagonal/>
    </border>
    <border>
      <left style="medium">
        <color indexed="64"/>
      </left>
      <right/>
      <top/>
      <bottom/>
      <diagonal/>
    </border>
    <border>
      <left style="thin">
        <color indexed="63"/>
      </left>
      <right/>
      <top/>
      <bottom style="thin">
        <color indexed="63"/>
      </bottom>
      <diagonal/>
    </border>
    <border>
      <left/>
      <right/>
      <top/>
      <bottom style="medium">
        <color indexed="64"/>
      </bottom>
      <diagonal/>
    </border>
    <border>
      <left style="medium">
        <color indexed="64"/>
      </left>
      <right/>
      <top/>
      <bottom style="medium">
        <color indexed="64"/>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indexed="64"/>
      </bottom>
      <diagonal/>
    </border>
    <border>
      <left style="thin">
        <color auto="1"/>
      </left>
      <right/>
      <top/>
      <bottom style="thin">
        <color indexed="63"/>
      </bottom>
      <diagonal/>
    </border>
    <border>
      <left style="thin">
        <color auto="1"/>
      </left>
      <right/>
      <top style="thin">
        <color indexed="63"/>
      </top>
      <bottom style="thin">
        <color auto="1"/>
      </bottom>
      <diagonal/>
    </border>
    <border>
      <left style="thin">
        <color auto="1"/>
      </left>
      <right/>
      <top style="thin">
        <color indexed="63"/>
      </top>
      <bottom style="thin">
        <color indexed="63"/>
      </bottom>
      <diagonal/>
    </border>
    <border>
      <left style="thin">
        <color auto="1"/>
      </left>
      <right/>
      <top style="thin">
        <color auto="1"/>
      </top>
      <bottom style="thin">
        <color indexed="63"/>
      </bottom>
      <diagonal/>
    </border>
    <border>
      <left style="thin">
        <color auto="1"/>
      </left>
      <right/>
      <top style="thin">
        <color indexed="63"/>
      </top>
      <bottom/>
      <diagonal/>
    </border>
    <border>
      <left style="thin">
        <color indexed="63"/>
      </left>
      <right/>
      <top style="thin">
        <color indexed="63"/>
      </top>
      <bottom/>
      <diagonal/>
    </border>
    <border>
      <left style="thin">
        <color indexed="63"/>
      </left>
      <right/>
      <top style="thin">
        <color auto="1"/>
      </top>
      <bottom style="thin">
        <color indexed="63"/>
      </bottom>
      <diagonal/>
    </border>
    <border>
      <left style="thin">
        <color indexed="63"/>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63"/>
      </bottom>
      <diagonal/>
    </border>
    <border>
      <left/>
      <right/>
      <top/>
      <bottom style="thin">
        <color indexed="63"/>
      </bottom>
      <diagonal/>
    </border>
    <border>
      <left style="thin">
        <color indexed="63"/>
      </left>
      <right style="thin">
        <color indexed="63"/>
      </right>
      <top/>
      <bottom style="thin">
        <color indexed="63"/>
      </bottom>
      <diagonal/>
    </border>
    <border>
      <left style="medium">
        <color auto="1"/>
      </left>
      <right style="thin">
        <color indexed="63"/>
      </right>
      <top/>
      <bottom/>
      <diagonal/>
    </border>
    <border>
      <left style="medium">
        <color auto="1"/>
      </left>
      <right style="medium">
        <color auto="1"/>
      </right>
      <top style="thin">
        <color auto="1"/>
      </top>
      <bottom style="thin">
        <color auto="1"/>
      </bottom>
      <diagonal/>
    </border>
    <border>
      <left style="thin">
        <color indexed="63"/>
      </left>
      <right/>
      <top/>
      <bottom style="thin">
        <color indexed="63"/>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thin">
        <color auto="1"/>
      </top>
      <bottom style="thin">
        <color auto="1"/>
      </bottom>
      <diagonal/>
    </border>
    <border>
      <left style="thin">
        <color indexed="63"/>
      </left>
      <right/>
      <top style="thin">
        <color indexed="63"/>
      </top>
      <bottom style="thin">
        <color indexed="63"/>
      </bottom>
      <diagonal/>
    </border>
    <border>
      <left style="thin">
        <color indexed="63"/>
      </left>
      <right/>
      <top style="medium">
        <color indexed="63"/>
      </top>
      <bottom style="medium">
        <color indexed="63"/>
      </bottom>
      <diagonal/>
    </border>
    <border>
      <left/>
      <right/>
      <top style="medium">
        <color indexed="64"/>
      </top>
      <bottom style="thin">
        <color indexed="63"/>
      </bottom>
      <diagonal/>
    </border>
    <border>
      <left style="thin">
        <color indexed="63"/>
      </left>
      <right/>
      <top style="thin">
        <color indexed="63"/>
      </top>
      <bottom style="thin">
        <color auto="1"/>
      </bottom>
      <diagonal/>
    </border>
    <border>
      <left style="thin">
        <color indexed="63"/>
      </left>
      <right/>
      <top style="thin">
        <color indexed="63"/>
      </top>
      <bottom/>
      <diagonal/>
    </border>
    <border>
      <left/>
      <right/>
      <top style="thin">
        <color indexed="63"/>
      </top>
      <bottom style="thin">
        <color indexed="63"/>
      </bottom>
      <diagonal/>
    </border>
    <border>
      <left style="thin">
        <color indexed="63"/>
      </left>
      <right/>
      <top style="thin">
        <color auto="1"/>
      </top>
      <bottom style="thin">
        <color indexed="63"/>
      </bottom>
      <diagonal/>
    </border>
    <border>
      <left style="thin">
        <color indexed="63"/>
      </left>
      <right/>
      <top style="medium">
        <color indexed="63"/>
      </top>
      <bottom style="medium">
        <color auto="1"/>
      </bottom>
      <diagonal/>
    </border>
    <border>
      <left/>
      <right/>
      <top style="medium">
        <color auto="1"/>
      </top>
      <bottom style="thin">
        <color auto="1"/>
      </bottom>
      <diagonal/>
    </border>
    <border>
      <left style="thin">
        <color indexed="63"/>
      </left>
      <right/>
      <top style="medium">
        <color auto="1"/>
      </top>
      <bottom style="thin">
        <color indexed="63"/>
      </bottom>
      <diagonal/>
    </border>
    <border>
      <left style="thin">
        <color indexed="63"/>
      </left>
      <right/>
      <top style="thin">
        <color indexed="64"/>
      </top>
      <bottom style="thin">
        <color indexed="63"/>
      </bottom>
      <diagonal/>
    </border>
    <border>
      <left style="thin">
        <color indexed="63"/>
      </left>
      <right/>
      <top/>
      <bottom style="thin">
        <color indexed="63"/>
      </bottom>
      <diagonal/>
    </border>
    <border>
      <left/>
      <right/>
      <top style="thin">
        <color indexed="63"/>
      </top>
      <bottom style="thin">
        <color auto="1"/>
      </bottom>
      <diagonal/>
    </border>
    <border>
      <left style="thin">
        <color indexed="63"/>
      </left>
      <right/>
      <top/>
      <bottom style="thin">
        <color indexed="64"/>
      </bottom>
      <diagonal/>
    </border>
    <border>
      <left style="medium">
        <color indexed="63"/>
      </left>
      <right/>
      <top style="medium">
        <color indexed="63"/>
      </top>
      <bottom style="medium">
        <color indexed="63"/>
      </bottom>
      <diagonal/>
    </border>
    <border>
      <left/>
      <right/>
      <top style="medium">
        <color indexed="63"/>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thick">
        <color auto="1"/>
      </bottom>
      <diagonal/>
    </border>
    <border>
      <left/>
      <right/>
      <top/>
      <bottom style="thin">
        <color indexed="63"/>
      </bottom>
      <diagonal/>
    </border>
    <border>
      <left/>
      <right/>
      <top style="medium">
        <color indexed="63"/>
      </top>
      <bottom style="medium">
        <color indexed="63"/>
      </bottom>
      <diagonal/>
    </border>
    <border>
      <left style="medium">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bottom style="thin">
        <color indexed="63"/>
      </bottom>
      <diagonal/>
    </border>
    <border>
      <left style="medium">
        <color indexed="63"/>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right/>
      <top style="medium">
        <color indexed="63"/>
      </top>
      <bottom/>
      <diagonal/>
    </border>
    <border>
      <left style="thin">
        <color indexed="63"/>
      </left>
      <right style="thin">
        <color indexed="63"/>
      </right>
      <top style="medium">
        <color auto="1"/>
      </top>
      <bottom style="thin">
        <color indexed="63"/>
      </bottom>
      <diagonal/>
    </border>
    <border>
      <left style="medium">
        <color auto="1"/>
      </left>
      <right style="medium">
        <color auto="1"/>
      </right>
      <top style="thin">
        <color auto="1"/>
      </top>
      <bottom style="thin">
        <color indexed="63"/>
      </bottom>
      <diagonal/>
    </border>
    <border>
      <left style="medium">
        <color auto="1"/>
      </left>
      <right style="medium">
        <color auto="1"/>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style="medium">
        <color auto="1"/>
      </right>
      <top style="thin">
        <color auto="1"/>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thin">
        <color indexed="63"/>
      </left>
      <right/>
      <top style="thin">
        <color indexed="63"/>
      </top>
      <bottom style="thin">
        <color indexed="63"/>
      </bottom>
      <diagonal/>
    </border>
    <border>
      <left style="medium">
        <color indexed="63"/>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diagonal/>
    </border>
    <border>
      <left/>
      <right/>
      <top style="thin">
        <color indexed="63"/>
      </top>
      <bottom/>
      <diagonal/>
    </border>
    <border>
      <left style="medium">
        <color auto="1"/>
      </left>
      <right style="medium">
        <color auto="1"/>
      </right>
      <top style="thin">
        <color indexed="63"/>
      </top>
      <bottom style="thin">
        <color auto="1"/>
      </bottom>
      <diagonal/>
    </border>
    <border>
      <left style="medium">
        <color auto="1"/>
      </left>
      <right style="medium">
        <color auto="1"/>
      </right>
      <top/>
      <bottom style="medium">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style="medium">
        <color auto="1"/>
      </right>
      <top style="thin">
        <color auto="1"/>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thin">
        <color indexed="63"/>
      </left>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style="medium">
        <color auto="1"/>
      </right>
      <top style="thin">
        <color auto="1"/>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thin">
        <color indexed="63"/>
      </left>
      <right/>
      <top style="thin">
        <color indexed="63"/>
      </top>
      <bottom style="thin">
        <color indexed="63"/>
      </bottom>
      <diagonal/>
    </border>
    <border>
      <left style="medium">
        <color indexed="63"/>
      </left>
      <right style="medium">
        <color auto="1"/>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top style="medium">
        <color indexed="63"/>
      </top>
      <bottom style="thin">
        <color indexed="63"/>
      </bottom>
      <diagonal/>
    </border>
    <border>
      <left style="medium">
        <color auto="1"/>
      </left>
      <right style="medium">
        <color auto="1"/>
      </right>
      <top style="medium">
        <color indexed="63"/>
      </top>
      <bottom style="thin">
        <color indexed="63"/>
      </bottom>
      <diagonal/>
    </border>
    <border>
      <left style="thin">
        <color indexed="64"/>
      </left>
      <right style="thin">
        <color indexed="64"/>
      </right>
      <top style="medium">
        <color indexed="63"/>
      </top>
      <bottom style="thin">
        <color indexed="63"/>
      </bottom>
      <diagonal/>
    </border>
    <border>
      <left style="thin">
        <color indexed="64"/>
      </left>
      <right style="medium">
        <color auto="1"/>
      </right>
      <top style="medium">
        <color indexed="63"/>
      </top>
      <bottom style="thin">
        <color indexed="63"/>
      </bottom>
      <diagonal/>
    </border>
    <border>
      <left style="thin">
        <color indexed="63"/>
      </left>
      <right style="thin">
        <color indexed="64"/>
      </right>
      <top style="thin">
        <color indexed="63"/>
      </top>
      <bottom style="thin">
        <color indexed="63"/>
      </bottom>
      <diagonal/>
    </border>
    <border>
      <left style="medium">
        <color auto="1"/>
      </left>
      <right style="medium">
        <color auto="1"/>
      </right>
      <top/>
      <bottom style="thin">
        <color indexed="63"/>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3"/>
      </left>
      <right style="thin">
        <color indexed="63"/>
      </right>
      <top style="thin">
        <color auto="1"/>
      </top>
      <bottom style="thin">
        <color auto="1"/>
      </bottom>
      <diagonal/>
    </border>
    <border>
      <left/>
      <right style="medium">
        <color auto="1"/>
      </right>
      <top/>
      <bottom style="thin">
        <color indexed="63"/>
      </bottom>
      <diagonal/>
    </border>
    <border>
      <left/>
      <right style="medium">
        <color auto="1"/>
      </right>
      <top style="thin">
        <color indexed="63"/>
      </top>
      <bottom style="thin">
        <color indexed="63"/>
      </bottom>
      <diagonal/>
    </border>
    <border>
      <left/>
      <right style="medium">
        <color auto="1"/>
      </right>
      <top style="thin">
        <color indexed="63"/>
      </top>
      <bottom style="medium">
        <color indexed="63"/>
      </bottom>
      <diagonal/>
    </border>
    <border>
      <left/>
      <right style="medium">
        <color auto="1"/>
      </right>
      <top style="medium">
        <color indexed="63"/>
      </top>
      <bottom style="medium">
        <color indexed="63"/>
      </bottom>
      <diagonal/>
    </border>
    <border>
      <left/>
      <right style="medium">
        <color auto="1"/>
      </right>
      <top style="thin">
        <color indexed="64"/>
      </top>
      <bottom style="thin">
        <color indexed="63"/>
      </bottom>
      <diagonal/>
    </border>
    <border>
      <left/>
      <right style="medium">
        <color auto="1"/>
      </right>
      <top style="medium">
        <color indexed="63"/>
      </top>
      <bottom style="thin">
        <color indexed="63"/>
      </bottom>
      <diagonal/>
    </border>
    <border>
      <left/>
      <right style="medium">
        <color auto="1"/>
      </right>
      <top style="medium">
        <color auto="1"/>
      </top>
      <bottom style="thick">
        <color auto="1"/>
      </bottom>
      <diagonal/>
    </border>
    <border>
      <left style="medium">
        <color auto="1"/>
      </left>
      <right/>
      <top style="thin">
        <color auto="1"/>
      </top>
      <bottom style="thin">
        <color auto="1"/>
      </bottom>
      <diagonal/>
    </border>
    <border>
      <left style="medium">
        <color auto="1"/>
      </left>
      <right style="thin">
        <color indexed="63"/>
      </right>
      <top/>
      <bottom style="medium">
        <color auto="1"/>
      </bottom>
      <diagonal/>
    </border>
    <border>
      <left style="thin">
        <color indexed="63"/>
      </left>
      <right style="thin">
        <color indexed="63"/>
      </right>
      <top/>
      <bottom style="medium">
        <color auto="1"/>
      </bottom>
      <diagonal/>
    </border>
    <border>
      <left style="medium">
        <color indexed="63"/>
      </left>
      <right style="thin">
        <color indexed="63"/>
      </right>
      <top/>
      <bottom style="medium">
        <color auto="1"/>
      </bottom>
      <diagonal/>
    </border>
    <border>
      <left style="thin">
        <color indexed="63"/>
      </left>
      <right style="medium">
        <color indexed="63"/>
      </right>
      <top/>
      <bottom style="medium">
        <color auto="1"/>
      </bottom>
      <diagonal/>
    </border>
    <border>
      <left style="thin">
        <color indexed="64"/>
      </left>
      <right style="thin">
        <color indexed="64"/>
      </right>
      <top/>
      <bottom style="medium">
        <color auto="1"/>
      </bottom>
      <diagonal/>
    </border>
    <border>
      <left style="medium">
        <color auto="1"/>
      </left>
      <right style="medium">
        <color auto="1"/>
      </right>
      <top/>
      <bottom style="thin">
        <color auto="1"/>
      </bottom>
      <diagonal/>
    </border>
    <border>
      <left style="medium">
        <color auto="1"/>
      </left>
      <right style="thin">
        <color indexed="63"/>
      </right>
      <top/>
      <bottom style="thin">
        <color auto="1"/>
      </bottom>
      <diagonal/>
    </border>
    <border>
      <left style="thin">
        <color indexed="63"/>
      </left>
      <right style="thin">
        <color indexed="63"/>
      </right>
      <top/>
      <bottom style="thin">
        <color auto="1"/>
      </bottom>
      <diagonal/>
    </border>
    <border>
      <left style="medium">
        <color indexed="63"/>
      </left>
      <right style="thin">
        <color indexed="63"/>
      </right>
      <top/>
      <bottom style="thin">
        <color auto="1"/>
      </bottom>
      <diagonal/>
    </border>
    <border>
      <left style="thin">
        <color indexed="63"/>
      </left>
      <right style="medium">
        <color indexed="63"/>
      </right>
      <top/>
      <bottom style="thin">
        <color auto="1"/>
      </bottom>
      <diagonal/>
    </border>
    <border>
      <left style="medium">
        <color auto="1"/>
      </left>
      <right style="thin">
        <color indexed="63"/>
      </right>
      <top style="medium">
        <color indexed="63"/>
      </top>
      <bottom/>
      <diagonal/>
    </border>
    <border>
      <left style="medium">
        <color indexed="63"/>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right/>
      <top style="medium">
        <color indexed="63"/>
      </top>
      <bottom/>
      <diagonal/>
    </border>
    <border>
      <left style="medium">
        <color auto="1"/>
      </left>
      <right style="medium">
        <color auto="1"/>
      </right>
      <top style="medium">
        <color indexed="63"/>
      </top>
      <bottom style="medium">
        <color auto="1"/>
      </bottom>
      <diagonal/>
    </border>
    <border>
      <left style="medium">
        <color auto="1"/>
      </left>
      <right style="thin">
        <color indexed="63"/>
      </right>
      <top style="medium">
        <color indexed="63"/>
      </top>
      <bottom style="medium">
        <color auto="1"/>
      </bottom>
      <diagonal/>
    </border>
    <border>
      <left style="thin">
        <color indexed="63"/>
      </left>
      <right/>
      <top style="medium">
        <color indexed="63"/>
      </top>
      <bottom style="medium">
        <color auto="1"/>
      </bottom>
      <diagonal/>
    </border>
    <border>
      <left style="medium">
        <color indexed="63"/>
      </left>
      <right style="thin">
        <color indexed="63"/>
      </right>
      <top style="medium">
        <color indexed="63"/>
      </top>
      <bottom style="medium">
        <color auto="1"/>
      </bottom>
      <diagonal/>
    </border>
    <border>
      <left style="thin">
        <color indexed="63"/>
      </left>
      <right style="thin">
        <color indexed="63"/>
      </right>
      <top style="medium">
        <color indexed="63"/>
      </top>
      <bottom style="medium">
        <color auto="1"/>
      </bottom>
      <diagonal/>
    </border>
    <border>
      <left style="thin">
        <color indexed="63"/>
      </left>
      <right style="medium">
        <color indexed="63"/>
      </right>
      <top style="medium">
        <color indexed="63"/>
      </top>
      <bottom style="medium">
        <color auto="1"/>
      </bottom>
      <diagonal/>
    </border>
    <border>
      <left/>
      <right/>
      <top style="medium">
        <color indexed="63"/>
      </top>
      <bottom style="medium">
        <color auto="1"/>
      </bottom>
      <diagonal/>
    </border>
    <border>
      <left style="thin">
        <color indexed="63"/>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top style="thin">
        <color indexed="63"/>
      </top>
      <bottom/>
      <diagonal/>
    </border>
    <border>
      <left style="medium">
        <color indexed="63"/>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diagonal/>
    </border>
    <border>
      <left/>
      <right style="thin">
        <color indexed="63"/>
      </right>
      <top style="thin">
        <color indexed="63"/>
      </top>
      <bottom/>
      <diagonal/>
    </border>
    <border>
      <left style="thin">
        <color auto="1"/>
      </left>
      <right/>
      <top style="thin">
        <color indexed="63"/>
      </top>
      <bottom/>
      <diagonal/>
    </border>
    <border>
      <left style="thin">
        <color auto="1"/>
      </left>
      <right/>
      <top/>
      <bottom style="thin">
        <color indexed="63"/>
      </bottom>
      <diagonal/>
    </border>
    <border>
      <left style="medium">
        <color indexed="63"/>
      </left>
      <right style="thin">
        <color indexed="63"/>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3"/>
      </left>
      <right style="medium">
        <color indexed="63"/>
      </right>
      <top style="thin">
        <color indexed="64"/>
      </top>
      <bottom style="thin">
        <color indexed="64"/>
      </bottom>
      <diagonal/>
    </border>
    <border>
      <left style="thin">
        <color auto="1"/>
      </left>
      <right style="medium">
        <color auto="1"/>
      </right>
      <top style="thin">
        <color indexed="64"/>
      </top>
      <bottom style="thin">
        <color indexed="64"/>
      </bottom>
      <diagonal/>
    </border>
    <border>
      <left style="medium">
        <color auto="1"/>
      </left>
      <right style="medium">
        <color auto="1"/>
      </right>
      <top style="thin">
        <color indexed="63"/>
      </top>
      <bottom/>
      <diagonal/>
    </border>
    <border>
      <left style="medium">
        <color auto="1"/>
      </left>
      <right style="medium">
        <color indexed="64"/>
      </right>
      <top style="medium">
        <color auto="1"/>
      </top>
      <bottom/>
      <diagonal/>
    </border>
    <border>
      <left style="medium">
        <color auto="1"/>
      </left>
      <right style="thin">
        <color indexed="63"/>
      </right>
      <top style="medium">
        <color auto="1"/>
      </top>
      <bottom style="thin">
        <color indexed="6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indexed="64"/>
      </bottom>
      <diagonal/>
    </border>
    <border>
      <left style="medium">
        <color auto="1"/>
      </left>
      <right/>
      <top/>
      <bottom style="medium">
        <color auto="1"/>
      </bottom>
      <diagonal/>
    </border>
    <border>
      <left style="medium">
        <color auto="1"/>
      </left>
      <right/>
      <top/>
      <bottom style="thin">
        <color auto="1"/>
      </bottom>
      <diagonal/>
    </border>
    <border>
      <left style="medium">
        <color indexed="63"/>
      </left>
      <right/>
      <top style="medium">
        <color indexed="63"/>
      </top>
      <bottom style="medium">
        <color indexed="63"/>
      </bottom>
      <diagonal/>
    </border>
    <border>
      <left style="medium">
        <color auto="1"/>
      </left>
      <right/>
      <top style="medium">
        <color indexed="63"/>
      </top>
      <bottom style="medium">
        <color auto="1"/>
      </bottom>
      <diagonal/>
    </border>
    <border>
      <left/>
      <right style="medium">
        <color auto="1"/>
      </right>
      <top style="thin">
        <color auto="1"/>
      </top>
      <bottom style="medium">
        <color auto="1"/>
      </bottom>
      <diagonal/>
    </border>
    <border>
      <left/>
      <right style="medium">
        <color auto="1"/>
      </right>
      <top style="thin">
        <color indexed="63"/>
      </top>
      <bottom style="thin">
        <color indexed="63"/>
      </bottom>
      <diagonal/>
    </border>
    <border>
      <left/>
      <right style="medium">
        <color auto="1"/>
      </right>
      <top style="thin">
        <color indexed="63"/>
      </top>
      <bottom style="medium">
        <color indexed="63"/>
      </bottom>
      <diagonal/>
    </border>
    <border>
      <left/>
      <right style="medium">
        <color auto="1"/>
      </right>
      <top style="thin">
        <color auto="1"/>
      </top>
      <bottom style="thin">
        <color auto="1"/>
      </bottom>
      <diagonal/>
    </border>
    <border>
      <left/>
      <right style="medium">
        <color auto="1"/>
      </right>
      <top style="thin">
        <color auto="1"/>
      </top>
      <bottom style="thin">
        <color indexed="63"/>
      </bottom>
      <diagonal/>
    </border>
    <border>
      <left/>
      <right style="medium">
        <color auto="1"/>
      </right>
      <top style="thin">
        <color indexed="63"/>
      </top>
      <bottom style="thin">
        <color indexed="63"/>
      </bottom>
      <diagonal/>
    </border>
    <border>
      <left/>
      <right style="medium">
        <color auto="1"/>
      </right>
      <top style="thin">
        <color indexed="63"/>
      </top>
      <bottom style="medium">
        <color indexed="63"/>
      </bottom>
      <diagonal/>
    </border>
    <border>
      <left/>
      <right style="thin">
        <color indexed="63"/>
      </right>
      <top style="medium">
        <color indexed="63"/>
      </top>
      <bottom style="medium">
        <color indexed="63"/>
      </bottom>
      <diagonal/>
    </border>
    <border>
      <left/>
      <right style="medium">
        <color auto="1"/>
      </right>
      <top style="medium">
        <color indexed="63"/>
      </top>
      <bottom style="medium">
        <color auto="1"/>
      </bottom>
      <diagonal/>
    </border>
    <border>
      <left style="medium">
        <color auto="1"/>
      </left>
      <right style="thin">
        <color auto="1"/>
      </right>
      <top style="thin">
        <color indexed="64"/>
      </top>
      <bottom style="thin">
        <color indexed="64"/>
      </bottom>
      <diagonal/>
    </border>
    <border>
      <left style="thin">
        <color auto="1"/>
      </left>
      <right style="medium">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
      <left style="medium">
        <color auto="1"/>
      </left>
      <right style="thin">
        <color auto="1"/>
      </right>
      <top/>
      <bottom style="thin">
        <color indexed="63"/>
      </bottom>
      <diagonal/>
    </border>
    <border>
      <left style="thin">
        <color auto="1"/>
      </left>
      <right style="medium">
        <color auto="1"/>
      </right>
      <top/>
      <bottom style="thin">
        <color indexed="63"/>
      </bottom>
      <diagonal/>
    </border>
    <border>
      <left style="medium">
        <color auto="1"/>
      </left>
      <right style="thin">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style="medium">
        <color auto="1"/>
      </left>
      <right style="thin">
        <color auto="1"/>
      </right>
      <top style="thin">
        <color indexed="63"/>
      </top>
      <bottom style="medium">
        <color indexed="63"/>
      </bottom>
      <diagonal/>
    </border>
    <border>
      <left style="thin">
        <color auto="1"/>
      </left>
      <right style="medium">
        <color auto="1"/>
      </right>
      <top style="thin">
        <color indexed="63"/>
      </top>
      <bottom style="medium">
        <color indexed="63"/>
      </bottom>
      <diagonal/>
    </border>
    <border>
      <left style="medium">
        <color auto="1"/>
      </left>
      <right style="thin">
        <color auto="1"/>
      </right>
      <top style="medium">
        <color indexed="63"/>
      </top>
      <bottom style="medium">
        <color indexed="63"/>
      </bottom>
      <diagonal/>
    </border>
    <border>
      <left style="thin">
        <color auto="1"/>
      </left>
      <right style="medium">
        <color auto="1"/>
      </right>
      <top style="medium">
        <color indexed="63"/>
      </top>
      <bottom style="medium">
        <color indexed="63"/>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style="thin">
        <color indexed="64"/>
      </top>
      <bottom/>
      <diagonal/>
    </border>
    <border>
      <left style="thin">
        <color auto="1"/>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indexed="64"/>
      </top>
      <bottom style="thin">
        <color indexed="63"/>
      </bottom>
      <diagonal/>
    </border>
    <border>
      <left style="thin">
        <color auto="1"/>
      </left>
      <right style="medium">
        <color auto="1"/>
      </right>
      <top style="thin">
        <color indexed="64"/>
      </top>
      <bottom style="thin">
        <color indexed="63"/>
      </bottom>
      <diagonal/>
    </border>
    <border>
      <left style="thin">
        <color auto="1"/>
      </left>
      <right style="medium">
        <color auto="1"/>
      </right>
      <top style="thin">
        <color indexed="63"/>
      </top>
      <bottom style="thin">
        <color indexed="64"/>
      </bottom>
      <diagonal/>
    </border>
    <border>
      <left style="medium">
        <color auto="1"/>
      </left>
      <right style="thin">
        <color auto="1"/>
      </right>
      <top/>
      <bottom style="medium">
        <color indexed="63"/>
      </bottom>
      <diagonal/>
    </border>
    <border>
      <left style="medium">
        <color auto="1"/>
      </left>
      <right style="thin">
        <color auto="1"/>
      </right>
      <top style="medium">
        <color indexed="63"/>
      </top>
      <bottom/>
      <diagonal/>
    </border>
    <border>
      <left style="thin">
        <color auto="1"/>
      </left>
      <right style="medium">
        <color auto="1"/>
      </right>
      <top style="medium">
        <color indexed="63"/>
      </top>
      <bottom/>
      <diagonal/>
    </border>
    <border>
      <left style="medium">
        <color auto="1"/>
      </left>
      <right style="thin">
        <color auto="1"/>
      </right>
      <top style="medium">
        <color indexed="63"/>
      </top>
      <bottom style="thin">
        <color indexed="63"/>
      </bottom>
      <diagonal/>
    </border>
    <border>
      <left style="medium">
        <color auto="1"/>
      </left>
      <right style="thin">
        <color auto="1"/>
      </right>
      <top style="medium">
        <color indexed="63"/>
      </top>
      <bottom style="medium">
        <color auto="1"/>
      </bottom>
      <diagonal/>
    </border>
    <border>
      <left style="thin">
        <color auto="1"/>
      </left>
      <right style="medium">
        <color auto="1"/>
      </right>
      <top style="medium">
        <color indexed="63"/>
      </top>
      <bottom style="medium">
        <color auto="1"/>
      </bottom>
      <diagonal/>
    </border>
    <border>
      <left style="medium">
        <color auto="1"/>
      </left>
      <right style="thin">
        <color auto="1"/>
      </right>
      <top style="medium">
        <color auto="1"/>
      </top>
      <bottom style="thick">
        <color auto="1"/>
      </bottom>
      <diagonal/>
    </border>
    <border>
      <left style="thin">
        <color auto="1"/>
      </left>
      <right style="medium">
        <color auto="1"/>
      </right>
      <top style="medium">
        <color auto="1"/>
      </top>
      <bottom style="thick">
        <color auto="1"/>
      </bottom>
      <diagonal/>
    </border>
    <border>
      <left style="thin">
        <color indexed="63"/>
      </left>
      <right/>
      <top style="thin">
        <color auto="1"/>
      </top>
      <bottom style="thin">
        <color indexed="63"/>
      </bottom>
      <diagonal/>
    </border>
    <border>
      <left style="medium">
        <color auto="1"/>
      </left>
      <right style="thin">
        <color auto="1"/>
      </right>
      <top/>
      <bottom style="thin">
        <color indexed="63"/>
      </bottom>
      <diagonal/>
    </border>
    <border>
      <left style="thin">
        <color auto="1"/>
      </left>
      <right style="medium">
        <color auto="1"/>
      </right>
      <top/>
      <bottom style="thin">
        <color indexed="63"/>
      </bottom>
      <diagonal/>
    </border>
    <border>
      <left style="thin">
        <color auto="1"/>
      </left>
      <right style="medium">
        <color auto="1"/>
      </right>
      <top style="thin">
        <color indexed="63"/>
      </top>
      <bottom style="thin">
        <color indexed="63"/>
      </bottom>
      <diagonal/>
    </border>
    <border>
      <left style="thin">
        <color auto="1"/>
      </left>
      <right style="medium">
        <color auto="1"/>
      </right>
      <top style="medium">
        <color indexed="63"/>
      </top>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indexed="63"/>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style="thin">
        <color indexed="63"/>
      </bottom>
      <diagonal/>
    </border>
    <border>
      <left style="medium">
        <color auto="1"/>
      </left>
      <right/>
      <top style="thin">
        <color indexed="63"/>
      </top>
      <bottom style="thin">
        <color indexed="63"/>
      </bottom>
      <diagonal/>
    </border>
    <border>
      <left style="medium">
        <color auto="1"/>
      </left>
      <right/>
      <top style="thin">
        <color indexed="63"/>
      </top>
      <bottom style="medium">
        <color indexed="63"/>
      </bottom>
      <diagonal/>
    </border>
    <border>
      <left style="medium">
        <color auto="1"/>
      </left>
      <right/>
      <top style="medium">
        <color indexed="63"/>
      </top>
      <bottom style="medium">
        <color indexed="63"/>
      </bottom>
      <diagonal/>
    </border>
    <border>
      <left style="medium">
        <color auto="1"/>
      </left>
      <right/>
      <top style="thin">
        <color auto="1"/>
      </top>
      <bottom style="thin">
        <color indexed="63"/>
      </bottom>
      <diagonal/>
    </border>
    <border>
      <left style="medium">
        <color auto="1"/>
      </left>
      <right/>
      <top style="thin">
        <color auto="1"/>
      </top>
      <bottom style="thin">
        <color auto="1"/>
      </bottom>
      <diagonal/>
    </border>
    <border>
      <left style="medium">
        <color auto="1"/>
      </left>
      <right/>
      <top style="thin">
        <color indexed="63"/>
      </top>
      <bottom style="thin">
        <color auto="1"/>
      </bottom>
      <diagonal/>
    </border>
    <border>
      <left style="thin">
        <color indexed="63"/>
      </left>
      <right/>
      <top style="medium">
        <color indexed="63"/>
      </top>
      <bottom style="medium">
        <color indexed="63"/>
      </bottom>
      <diagonal/>
    </border>
    <border>
      <left style="medium">
        <color auto="1"/>
      </left>
      <right/>
      <top style="thin">
        <color indexed="63"/>
      </top>
      <bottom/>
      <diagonal/>
    </border>
    <border>
      <left style="medium">
        <color auto="1"/>
      </left>
      <right/>
      <top/>
      <bottom style="medium">
        <color indexed="63"/>
      </bottom>
      <diagonal/>
    </border>
    <border>
      <left style="medium">
        <color auto="1"/>
      </left>
      <right/>
      <top style="medium">
        <color indexed="63"/>
      </top>
      <bottom style="thin">
        <color indexed="63"/>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indexed="63"/>
      </top>
      <bottom style="thin">
        <color indexed="63"/>
      </bottom>
      <diagonal/>
    </border>
    <border>
      <left style="medium">
        <color auto="1"/>
      </left>
      <right style="thin">
        <color auto="1"/>
      </right>
      <top style="thin">
        <color indexed="63"/>
      </top>
      <bottom style="medium">
        <color auto="1"/>
      </bottom>
      <diagonal/>
    </border>
    <border>
      <left style="thin">
        <color auto="1"/>
      </left>
      <right style="thin">
        <color auto="1"/>
      </right>
      <top style="thin">
        <color indexed="63"/>
      </top>
      <bottom style="medium">
        <color auto="1"/>
      </bottom>
      <diagonal/>
    </border>
    <border>
      <left style="thin">
        <color auto="1"/>
      </left>
      <right style="thin">
        <color auto="1"/>
      </right>
      <top/>
      <bottom style="thin">
        <color indexed="63"/>
      </bottom>
      <diagonal/>
    </border>
    <border>
      <left style="thin">
        <color auto="1"/>
      </left>
      <right style="thin">
        <color auto="1"/>
      </right>
      <top style="thin">
        <color indexed="63"/>
      </top>
      <bottom style="medium">
        <color indexed="63"/>
      </bottom>
      <diagonal/>
    </border>
    <border>
      <left style="thin">
        <color auto="1"/>
      </left>
      <right style="thin">
        <color auto="1"/>
      </right>
      <top style="medium">
        <color indexed="63"/>
      </top>
      <bottom style="medium">
        <color indexed="63"/>
      </bottom>
      <diagonal/>
    </border>
    <border>
      <left style="medium">
        <color auto="1"/>
      </left>
      <right style="thin">
        <color auto="1"/>
      </right>
      <top style="thin">
        <color indexed="63"/>
      </top>
      <bottom/>
      <diagonal/>
    </border>
    <border>
      <left style="thin">
        <color auto="1"/>
      </left>
      <right style="thin">
        <color auto="1"/>
      </right>
      <top style="thin">
        <color indexed="63"/>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63"/>
      </top>
      <bottom style="thin">
        <color indexed="64"/>
      </bottom>
      <diagonal/>
    </border>
    <border>
      <left style="medium">
        <color auto="1"/>
      </left>
      <right style="thin">
        <color auto="1"/>
      </right>
      <top style="thin">
        <color indexed="63"/>
      </top>
      <bottom style="thin">
        <color auto="1"/>
      </bottom>
      <diagonal/>
    </border>
    <border>
      <left style="thin">
        <color auto="1"/>
      </left>
      <right style="thin">
        <color auto="1"/>
      </right>
      <top style="thin">
        <color indexed="63"/>
      </top>
      <bottom style="thin">
        <color auto="1"/>
      </bottom>
      <diagonal/>
    </border>
    <border>
      <left style="thin">
        <color auto="1"/>
      </left>
      <right style="medium">
        <color auto="1"/>
      </right>
      <top style="thin">
        <color indexed="63"/>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indexed="63"/>
      </bottom>
      <diagonal/>
    </border>
    <border>
      <left style="thin">
        <color auto="1"/>
      </left>
      <right style="thin">
        <color auto="1"/>
      </right>
      <top style="medium">
        <color indexed="63"/>
      </top>
      <bottom style="medium">
        <color auto="1"/>
      </bottom>
      <diagonal/>
    </border>
    <border>
      <left style="thin">
        <color auto="1"/>
      </left>
      <right style="medium">
        <color auto="1"/>
      </right>
      <top style="thin">
        <color auto="1"/>
      </top>
      <bottom style="thin">
        <color indexed="63"/>
      </bottom>
      <diagonal/>
    </border>
    <border>
      <left style="thin">
        <color auto="1"/>
      </left>
      <right style="thin">
        <color auto="1"/>
      </right>
      <top/>
      <bottom style="medium">
        <color indexed="63"/>
      </bottom>
      <diagonal/>
    </border>
    <border>
      <left style="thin">
        <color auto="1"/>
      </left>
      <right style="medium">
        <color auto="1"/>
      </right>
      <top/>
      <bottom style="medium">
        <color indexed="63"/>
      </bottom>
      <diagonal/>
    </border>
    <border>
      <left style="medium">
        <color auto="1"/>
      </left>
      <right style="thin">
        <color auto="1"/>
      </right>
      <top style="thin">
        <color auto="1"/>
      </top>
      <bottom style="thin">
        <color indexed="63"/>
      </bottom>
      <diagonal/>
    </border>
    <border>
      <left style="thin">
        <color auto="1"/>
      </left>
      <right style="thin">
        <color auto="1"/>
      </right>
      <top style="medium">
        <color auto="1"/>
      </top>
      <bottom style="thin">
        <color indexed="63"/>
      </bottom>
      <diagonal/>
    </border>
    <border>
      <left style="medium">
        <color auto="1"/>
      </left>
      <right style="thin">
        <color auto="1"/>
      </right>
      <top style="medium">
        <color indexed="63"/>
      </top>
      <bottom style="thin">
        <color auto="1"/>
      </bottom>
      <diagonal/>
    </border>
    <border>
      <left style="thin">
        <color auto="1"/>
      </left>
      <right style="thin">
        <color auto="1"/>
      </right>
      <top style="medium">
        <color indexed="63"/>
      </top>
      <bottom style="thin">
        <color auto="1"/>
      </bottom>
      <diagonal/>
    </border>
    <border>
      <left style="thin">
        <color auto="1"/>
      </left>
      <right style="thin">
        <color auto="1"/>
      </right>
      <top style="medium">
        <color indexed="63"/>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ck">
        <color auto="1"/>
      </bottom>
      <diagonal/>
    </border>
    <border>
      <left style="medium">
        <color auto="1"/>
      </left>
      <right style="medium">
        <color indexed="64"/>
      </right>
      <top style="medium">
        <color auto="1"/>
      </top>
      <bottom style="medium">
        <color indexed="64"/>
      </bottom>
      <diagonal/>
    </border>
    <border>
      <left style="medium">
        <color auto="1"/>
      </left>
      <right/>
      <top style="medium">
        <color auto="1"/>
      </top>
      <bottom/>
      <diagonal/>
    </border>
    <border>
      <left style="medium">
        <color indexed="63"/>
      </left>
      <right style="thin">
        <color indexed="63"/>
      </right>
      <top/>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right style="thin">
        <color auto="1"/>
      </right>
      <top style="thin">
        <color indexed="63"/>
      </top>
      <bottom style="thin">
        <color indexed="63"/>
      </bottom>
      <diagonal/>
    </border>
    <border>
      <left style="thin">
        <color indexed="64"/>
      </left>
      <right style="medium">
        <color auto="1"/>
      </right>
      <top style="thin">
        <color indexed="63"/>
      </top>
      <bottom style="thin">
        <color indexed="63"/>
      </bottom>
      <diagonal/>
    </border>
    <border>
      <left style="thin">
        <color indexed="63"/>
      </left>
      <right style="medium">
        <color auto="1"/>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right style="thin">
        <color auto="1"/>
      </right>
      <top style="thin">
        <color indexed="63"/>
      </top>
      <bottom style="medium">
        <color indexed="63"/>
      </bottom>
      <diagonal/>
    </border>
    <border>
      <left style="thin">
        <color indexed="63"/>
      </left>
      <right style="thin">
        <color indexed="63"/>
      </right>
      <top/>
      <bottom style="thin">
        <color indexed="63"/>
      </bottom>
      <diagonal/>
    </border>
    <border>
      <left style="thin">
        <color indexed="63"/>
      </left>
      <right/>
      <top/>
      <bottom style="thin">
        <color indexed="63"/>
      </bottom>
      <diagonal/>
    </border>
    <border>
      <left style="medium">
        <color indexed="63"/>
      </left>
      <right style="thin">
        <color indexed="63"/>
      </right>
      <top/>
      <bottom style="thin">
        <color indexed="63"/>
      </bottom>
      <diagonal/>
    </border>
    <border>
      <left/>
      <right style="thin">
        <color auto="1"/>
      </right>
      <top/>
      <bottom style="thin">
        <color indexed="63"/>
      </bottom>
      <diagonal/>
    </border>
    <border>
      <left style="thin">
        <color auto="1"/>
      </left>
      <right/>
      <top/>
      <bottom style="thin">
        <color indexed="63"/>
      </bottom>
      <diagonal/>
    </border>
    <border>
      <left style="medium">
        <color indexed="63"/>
      </left>
      <right style="thin">
        <color indexed="63"/>
      </right>
      <top/>
      <bottom style="thin">
        <color auto="1"/>
      </bottom>
      <diagonal/>
    </border>
    <border>
      <left style="thin">
        <color indexed="63"/>
      </left>
      <right style="thin">
        <color indexed="63"/>
      </right>
      <top style="thin">
        <color indexed="63"/>
      </top>
      <bottom style="thin">
        <color auto="1"/>
      </bottom>
      <diagonal/>
    </border>
    <border>
      <left style="thin">
        <color indexed="63"/>
      </left>
      <right style="medium">
        <color indexed="63"/>
      </right>
      <top style="thin">
        <color indexed="63"/>
      </top>
      <bottom style="thin">
        <color auto="1"/>
      </bottom>
      <diagonal/>
    </border>
    <border>
      <left style="thin">
        <color auto="1"/>
      </left>
      <right style="medium">
        <color auto="1"/>
      </right>
      <top/>
      <bottom style="thin">
        <color auto="1"/>
      </bottom>
      <diagonal/>
    </border>
    <border>
      <left style="thin">
        <color indexed="63"/>
      </left>
      <right style="medium">
        <color indexed="63"/>
      </right>
      <top/>
      <bottom style="thin">
        <color indexed="63"/>
      </bottom>
      <diagonal/>
    </border>
    <border>
      <left/>
      <right/>
      <top/>
      <bottom style="thin">
        <color indexed="63"/>
      </bottom>
      <diagonal/>
    </border>
    <border>
      <left style="thin">
        <color auto="1"/>
      </left>
      <right style="medium">
        <color auto="1"/>
      </right>
      <top style="thin">
        <color indexed="63"/>
      </top>
      <bottom/>
      <diagonal/>
    </border>
    <border>
      <left style="thin">
        <color indexed="63"/>
      </left>
      <right/>
      <top style="thin">
        <color indexed="63"/>
      </top>
      <bottom style="thin">
        <color indexed="63"/>
      </bottom>
      <diagonal/>
    </border>
    <border>
      <left style="thin">
        <color indexed="64"/>
      </left>
      <right/>
      <top/>
      <bottom style="thin">
        <color indexed="64"/>
      </bottom>
      <diagonal/>
    </border>
    <border>
      <left style="thin">
        <color indexed="63"/>
      </left>
      <right/>
      <top style="thin">
        <color indexed="63"/>
      </top>
      <bottom style="thin">
        <color auto="1"/>
      </bottom>
      <diagonal/>
    </border>
    <border>
      <left style="medium">
        <color indexed="63"/>
      </left>
      <right style="thin">
        <color indexed="63"/>
      </right>
      <top style="thin">
        <color indexed="63"/>
      </top>
      <bottom style="thin">
        <color auto="1"/>
      </bottom>
      <diagonal/>
    </border>
    <border>
      <left style="medium">
        <color auto="1"/>
      </left>
      <right style="medium">
        <color auto="1"/>
      </right>
      <top/>
      <bottom style="thin">
        <color auto="1"/>
      </bottom>
      <diagonal/>
    </border>
    <border>
      <left style="thin">
        <color indexed="63"/>
      </left>
      <right style="thin">
        <color indexed="63"/>
      </right>
      <top/>
      <bottom style="thin">
        <color indexed="63"/>
      </bottom>
      <diagonal/>
    </border>
    <border>
      <left style="thin">
        <color indexed="63"/>
      </left>
      <right/>
      <top/>
      <bottom style="thin">
        <color indexed="63"/>
      </bottom>
      <diagonal/>
    </border>
    <border>
      <left style="medium">
        <color indexed="63"/>
      </left>
      <right style="thin">
        <color indexed="63"/>
      </right>
      <top/>
      <bottom style="thin">
        <color indexed="63"/>
      </bottom>
      <diagonal/>
    </border>
    <border>
      <left/>
      <right style="thin">
        <color auto="1"/>
      </right>
      <top/>
      <bottom style="thin">
        <color indexed="63"/>
      </bottom>
      <diagonal/>
    </border>
    <border>
      <left style="thin">
        <color auto="1"/>
      </left>
      <right/>
      <top/>
      <bottom style="thin">
        <color indexed="63"/>
      </bottom>
      <diagonal/>
    </border>
    <border>
      <left style="medium">
        <color indexed="63"/>
      </left>
      <right style="thin">
        <color indexed="63"/>
      </right>
      <top/>
      <bottom style="thin">
        <color auto="1"/>
      </bottom>
      <diagonal/>
    </border>
    <border>
      <left style="medium">
        <color auto="1"/>
      </left>
      <right style="thin">
        <color auto="1"/>
      </right>
      <top/>
      <bottom style="thin">
        <color indexed="63"/>
      </bottom>
      <diagonal/>
    </border>
    <border>
      <left/>
      <right/>
      <top/>
      <bottom style="thin">
        <color indexed="63"/>
      </bottom>
      <diagonal/>
    </border>
    <border>
      <left style="thin">
        <color auto="1"/>
      </left>
      <right style="thin">
        <color auto="1"/>
      </right>
      <top/>
      <bottom style="thin">
        <color indexed="63"/>
      </bottom>
      <diagonal/>
    </border>
    <border>
      <left style="thin">
        <color auto="1"/>
      </left>
      <right style="medium">
        <color auto="1"/>
      </right>
      <top/>
      <bottom style="thin">
        <color indexed="64"/>
      </bottom>
      <diagonal/>
    </border>
    <border>
      <left style="medium">
        <color indexed="63"/>
      </left>
      <right style="thin">
        <color indexed="63"/>
      </right>
      <top style="thin">
        <color indexed="63"/>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indexed="63"/>
      </bottom>
      <diagonal/>
    </border>
    <border>
      <left style="medium">
        <color auto="1"/>
      </left>
      <right/>
      <top/>
      <bottom style="thin">
        <color indexed="63"/>
      </bottom>
      <diagonal/>
    </border>
    <border>
      <left style="thin">
        <color auto="1"/>
      </left>
      <right style="medium">
        <color auto="1"/>
      </right>
      <top/>
      <bottom style="thin">
        <color indexed="63"/>
      </bottom>
      <diagonal/>
    </border>
    <border>
      <left/>
      <right style="medium">
        <color auto="1"/>
      </right>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medium">
        <color auto="1"/>
      </left>
      <right/>
      <top style="thin">
        <color indexed="63"/>
      </top>
      <bottom style="thin">
        <color indexed="63"/>
      </bottom>
      <diagonal/>
    </border>
    <border>
      <left style="medium">
        <color auto="1"/>
      </left>
      <right style="thin">
        <color auto="1"/>
      </right>
      <top style="thin">
        <color indexed="63"/>
      </top>
      <bottom style="thin">
        <color indexed="63"/>
      </bottom>
      <diagonal/>
    </border>
    <border>
      <left style="thin">
        <color auto="1"/>
      </left>
      <right style="thin">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right style="medium">
        <color auto="1"/>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top style="thin">
        <color indexed="63"/>
      </top>
      <bottom style="medium">
        <color indexed="63"/>
      </bottom>
      <diagonal/>
    </border>
    <border>
      <left style="medium">
        <color auto="1"/>
      </left>
      <right style="thin">
        <color auto="1"/>
      </right>
      <top style="thin">
        <color indexed="63"/>
      </top>
      <bottom style="medium">
        <color indexed="63"/>
      </bottom>
      <diagonal/>
    </border>
    <border>
      <left style="thin">
        <color auto="1"/>
      </left>
      <right style="thin">
        <color auto="1"/>
      </right>
      <top style="thin">
        <color indexed="63"/>
      </top>
      <bottom style="medium">
        <color indexed="63"/>
      </bottom>
      <diagonal/>
    </border>
    <border>
      <left style="thin">
        <color auto="1"/>
      </left>
      <right style="medium">
        <color auto="1"/>
      </right>
      <top style="thin">
        <color indexed="63"/>
      </top>
      <bottom style="medium">
        <color indexed="63"/>
      </bottom>
      <diagonal/>
    </border>
    <border>
      <left/>
      <right style="medium">
        <color auto="1"/>
      </right>
      <top style="thin">
        <color indexed="63"/>
      </top>
      <bottom style="medium">
        <color indexed="63"/>
      </bottom>
      <diagonal/>
    </border>
    <border>
      <left style="medium">
        <color indexed="63"/>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auto="1"/>
      </left>
      <right style="medium">
        <color auto="1"/>
      </right>
      <top style="medium">
        <color indexed="63"/>
      </top>
      <bottom style="medium">
        <color indexed="63"/>
      </bottom>
      <diagonal/>
    </border>
    <border>
      <left style="medium">
        <color auto="1"/>
      </left>
      <right/>
      <top style="medium">
        <color indexed="63"/>
      </top>
      <bottom style="medium">
        <color indexed="63"/>
      </bottom>
      <diagonal/>
    </border>
    <border>
      <left style="medium">
        <color auto="1"/>
      </left>
      <right style="thin">
        <color auto="1"/>
      </right>
      <top style="medium">
        <color indexed="63"/>
      </top>
      <bottom style="medium">
        <color indexed="63"/>
      </bottom>
      <diagonal/>
    </border>
    <border>
      <left style="thin">
        <color auto="1"/>
      </left>
      <right style="thin">
        <color auto="1"/>
      </right>
      <top style="medium">
        <color indexed="63"/>
      </top>
      <bottom style="medium">
        <color indexed="63"/>
      </bottom>
      <diagonal/>
    </border>
    <border>
      <left style="thin">
        <color auto="1"/>
      </left>
      <right style="medium">
        <color auto="1"/>
      </right>
      <top style="medium">
        <color indexed="63"/>
      </top>
      <bottom style="medium">
        <color indexed="63"/>
      </bottom>
      <diagonal/>
    </border>
    <border>
      <left/>
      <right style="medium">
        <color auto="1"/>
      </right>
      <top style="medium">
        <color indexed="63"/>
      </top>
      <bottom style="medium">
        <color indexed="63"/>
      </bottom>
      <diagonal/>
    </border>
    <border>
      <left style="thin">
        <color indexed="63"/>
      </left>
      <right style="medium">
        <color indexed="63"/>
      </right>
      <top/>
      <bottom style="thin">
        <color indexed="63"/>
      </bottom>
      <diagonal/>
    </border>
    <border>
      <left style="medium">
        <color auto="1"/>
      </left>
      <right/>
      <top/>
      <bottom style="thin">
        <color auto="1"/>
      </bottom>
      <diagonal/>
    </border>
    <border>
      <left style="thin">
        <color auto="1"/>
      </left>
      <right style="medium">
        <color auto="1"/>
      </right>
      <top/>
      <bottom style="thin">
        <color indexed="64"/>
      </bottom>
      <diagonal/>
    </border>
    <border>
      <left style="medium">
        <color auto="1"/>
      </left>
      <right style="thin">
        <color auto="1"/>
      </right>
      <top/>
      <bottom style="thin">
        <color indexed="64"/>
      </bottom>
      <diagonal/>
    </border>
    <border>
      <left style="medium">
        <color auto="1"/>
      </left>
      <right/>
      <top style="medium">
        <color indexed="64"/>
      </top>
      <bottom style="thin">
        <color indexed="63"/>
      </bottom>
      <diagonal/>
    </border>
    <border>
      <left style="thin">
        <color auto="1"/>
      </left>
      <right style="medium">
        <color auto="1"/>
      </right>
      <top style="thin">
        <color indexed="64"/>
      </top>
      <bottom style="thin">
        <color indexed="64"/>
      </bottom>
      <diagonal/>
    </border>
    <border>
      <left style="medium">
        <color auto="1"/>
      </left>
      <right style="thin">
        <color auto="1"/>
      </right>
      <top style="thin">
        <color indexed="64"/>
      </top>
      <bottom style="thin">
        <color indexed="64"/>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medium">
        <color auto="1"/>
      </left>
      <right/>
      <top style="thin">
        <color indexed="63"/>
      </top>
      <bottom style="thin">
        <color indexed="63"/>
      </bottom>
      <diagonal/>
    </border>
    <border>
      <left style="thin">
        <color auto="1"/>
      </left>
      <right style="thin">
        <color auto="1"/>
      </right>
      <top style="thin">
        <color indexed="63"/>
      </top>
      <bottom/>
      <diagonal/>
    </border>
    <border>
      <left style="medium">
        <color auto="1"/>
      </left>
      <right style="thin">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right style="medium">
        <color auto="1"/>
      </right>
      <top style="thin">
        <color indexed="63"/>
      </top>
      <bottom style="thin">
        <color indexed="63"/>
      </bottom>
      <diagonal/>
    </border>
    <border>
      <left style="thin">
        <color auto="1"/>
      </left>
      <right style="thin">
        <color auto="1"/>
      </right>
      <top style="thin">
        <color indexed="63"/>
      </top>
      <bottom style="thin">
        <color indexed="63"/>
      </bottom>
      <diagonal/>
    </border>
    <border>
      <left style="thin">
        <color auto="1"/>
      </left>
      <right style="thin">
        <color auto="1"/>
      </right>
      <top style="thin">
        <color indexed="63"/>
      </top>
      <bottom style="thin">
        <color indexed="64"/>
      </bottom>
      <diagonal/>
    </border>
    <border>
      <left/>
      <right/>
      <top style="thin">
        <color indexed="63"/>
      </top>
      <bottom style="thin">
        <color indexed="63"/>
      </bottom>
      <diagonal/>
    </border>
    <border>
      <left style="medium">
        <color auto="1"/>
      </left>
      <right style="thin">
        <color auto="1"/>
      </right>
      <top style="thin">
        <color indexed="63"/>
      </top>
      <bottom style="thin">
        <color auto="1"/>
      </bottom>
      <diagonal/>
    </border>
    <border>
      <left style="thin">
        <color auto="1"/>
      </left>
      <right style="thin">
        <color auto="1"/>
      </right>
      <top style="thin">
        <color indexed="63"/>
      </top>
      <bottom style="thin">
        <color auto="1"/>
      </bottom>
      <diagonal/>
    </border>
    <border>
      <left style="thin">
        <color indexed="63"/>
      </left>
      <right/>
      <top style="thin">
        <color indexed="63"/>
      </top>
      <bottom style="thin">
        <color indexed="63"/>
      </bottom>
      <diagonal/>
    </border>
    <border>
      <left style="medium">
        <color auto="1"/>
      </left>
      <right style="thin">
        <color auto="1"/>
      </right>
      <top style="thin">
        <color auto="1"/>
      </top>
      <bottom style="medium">
        <color auto="1"/>
      </bottom>
      <diagonal/>
    </border>
    <border>
      <left style="thin">
        <color indexed="63"/>
      </left>
      <right/>
      <top style="thin">
        <color indexed="63"/>
      </top>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top style="thin">
        <color indexed="63"/>
      </top>
      <bottom style="medium">
        <color indexed="63"/>
      </bottom>
      <diagonal/>
    </border>
    <border>
      <left style="medium">
        <color auto="1"/>
      </left>
      <right style="thin">
        <color auto="1"/>
      </right>
      <top style="thin">
        <color indexed="63"/>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right style="medium">
        <color auto="1"/>
      </right>
      <top style="thin">
        <color indexed="63"/>
      </top>
      <bottom style="medium">
        <color indexed="63"/>
      </bottom>
      <diagonal/>
    </border>
    <border>
      <left style="medium">
        <color auto="1"/>
      </left>
      <right style="thin">
        <color indexed="63"/>
      </right>
      <top style="medium">
        <color indexed="64"/>
      </top>
      <bottom style="medium">
        <color auto="1"/>
      </bottom>
      <diagonal/>
    </border>
    <border>
      <left style="medium">
        <color auto="1"/>
      </left>
      <right style="thin">
        <color indexed="63"/>
      </right>
      <top/>
      <bottom style="thin">
        <color indexed="63"/>
      </bottom>
      <diagonal/>
    </border>
    <border>
      <left style="medium">
        <color auto="1"/>
      </left>
      <right style="thin">
        <color auto="1"/>
      </right>
      <top/>
      <bottom style="thin">
        <color indexed="64"/>
      </bottom>
      <diagonal/>
    </border>
    <border>
      <left/>
      <right style="medium">
        <color indexed="64"/>
      </right>
      <top/>
      <bottom style="thin">
        <color indexed="64"/>
      </bottom>
      <diagonal/>
    </border>
    <border>
      <left style="medium">
        <color auto="1"/>
      </left>
      <right style="medium">
        <color auto="1"/>
      </right>
      <top/>
      <bottom style="thin">
        <color auto="1"/>
      </bottom>
      <diagonal/>
    </border>
    <border>
      <left style="medium">
        <color auto="1"/>
      </left>
      <right style="thin">
        <color indexed="63"/>
      </right>
      <top style="thin">
        <color indexed="63"/>
      </top>
      <bottom style="thin">
        <color indexed="63"/>
      </bottom>
      <diagonal/>
    </border>
    <border>
      <left style="thin">
        <color auto="1"/>
      </left>
      <right style="medium">
        <color auto="1"/>
      </right>
      <top style="thin">
        <color indexed="64"/>
      </top>
      <bottom style="thin">
        <color indexed="64"/>
      </bottom>
      <diagonal/>
    </border>
    <border>
      <left style="medium">
        <color auto="1"/>
      </left>
      <right style="thin">
        <color auto="1"/>
      </right>
      <top style="thin">
        <color indexed="64"/>
      </top>
      <bottom style="thin">
        <color indexed="64"/>
      </bottom>
      <diagonal/>
    </border>
    <border>
      <left style="thin">
        <color indexed="63"/>
      </left>
      <right style="thin">
        <color indexed="63"/>
      </right>
      <top style="medium">
        <color indexed="63"/>
      </top>
      <bottom style="medium">
        <color auto="1"/>
      </bottom>
      <diagonal/>
    </border>
    <border>
      <left style="medium">
        <color auto="1"/>
      </left>
      <right style="medium">
        <color auto="1"/>
      </right>
      <top style="thin">
        <color auto="1"/>
      </top>
      <bottom style="thin">
        <color auto="1"/>
      </bottom>
      <diagonal/>
    </border>
    <border>
      <left style="medium">
        <color indexed="63"/>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diagonal/>
    </border>
    <border>
      <left style="medium">
        <color auto="1"/>
      </left>
      <right style="medium">
        <color auto="1"/>
      </right>
      <top style="thin">
        <color indexed="63"/>
      </top>
      <bottom/>
      <diagonal/>
    </border>
    <border>
      <left style="medium">
        <color auto="1"/>
      </left>
      <right/>
      <top style="thin">
        <color indexed="63"/>
      </top>
      <bottom/>
      <diagonal/>
    </border>
    <border>
      <left style="medium">
        <color auto="1"/>
      </left>
      <right style="thin">
        <color auto="1"/>
      </right>
      <top style="thin">
        <color indexed="63"/>
      </top>
      <bottom/>
      <diagonal/>
    </border>
    <border>
      <left style="thin">
        <color auto="1"/>
      </left>
      <right style="thin">
        <color auto="1"/>
      </right>
      <top style="thin">
        <color indexed="63"/>
      </top>
      <bottom/>
      <diagonal/>
    </border>
    <border>
      <left style="thin">
        <color auto="1"/>
      </left>
      <right style="thin">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style="medium">
        <color auto="1"/>
      </left>
      <right style="thin">
        <color auto="1"/>
      </right>
      <top style="thin">
        <color indexed="63"/>
      </top>
      <bottom style="thin">
        <color indexed="63"/>
      </bottom>
      <diagonal/>
    </border>
    <border>
      <left/>
      <right style="medium">
        <color auto="1"/>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medium">
        <color auto="1"/>
      </left>
      <right style="thin">
        <color indexed="63"/>
      </right>
      <top/>
      <bottom style="medium">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top style="thin">
        <color indexed="63"/>
      </top>
      <bottom style="medium">
        <color indexed="63"/>
      </bottom>
      <diagonal/>
    </border>
    <border>
      <left style="medium">
        <color auto="1"/>
      </left>
      <right style="thin">
        <color auto="1"/>
      </right>
      <top style="thin">
        <color indexed="63"/>
      </top>
      <bottom style="medium">
        <color indexed="63"/>
      </bottom>
      <diagonal/>
    </border>
    <border>
      <left style="thin">
        <color auto="1"/>
      </left>
      <right style="thin">
        <color auto="1"/>
      </right>
      <top style="thin">
        <color indexed="63"/>
      </top>
      <bottom style="medium">
        <color indexed="63"/>
      </bottom>
      <diagonal/>
    </border>
    <border>
      <left style="thin">
        <color auto="1"/>
      </left>
      <right style="medium">
        <color auto="1"/>
      </right>
      <top style="thin">
        <color indexed="63"/>
      </top>
      <bottom style="medium">
        <color indexed="63"/>
      </bottom>
      <diagonal/>
    </border>
    <border>
      <left/>
      <right style="medium">
        <color auto="1"/>
      </right>
      <top style="thin">
        <color indexed="63"/>
      </top>
      <bottom style="medium">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auto="1"/>
      </left>
      <right style="medium">
        <color auto="1"/>
      </right>
      <top style="thin">
        <color auto="1"/>
      </top>
      <bottom style="thin">
        <color indexed="63"/>
      </bottom>
      <diagonal/>
    </border>
    <border>
      <left style="medium">
        <color auto="1"/>
      </left>
      <right style="thin">
        <color auto="1"/>
      </right>
      <top style="thin">
        <color auto="1"/>
      </top>
      <bottom style="thin">
        <color indexed="63"/>
      </bottom>
      <diagonal/>
    </border>
    <border>
      <left style="thin">
        <color auto="1"/>
      </left>
      <right style="thin">
        <color auto="1"/>
      </right>
      <top style="thin">
        <color auto="1"/>
      </top>
      <bottom style="thin">
        <color indexed="63"/>
      </bottom>
      <diagonal/>
    </border>
    <border>
      <left style="thin">
        <color auto="1"/>
      </left>
      <right style="medium">
        <color auto="1"/>
      </right>
      <top style="thin">
        <color auto="1"/>
      </top>
      <bottom style="thin">
        <color indexed="63"/>
      </bottom>
      <diagonal/>
    </border>
    <border>
      <left style="thin">
        <color indexed="63"/>
      </left>
      <right/>
      <top style="thin">
        <color indexed="63"/>
      </top>
      <bottom style="thin">
        <color indexed="63"/>
      </bottom>
      <diagonal/>
    </border>
    <border>
      <left style="medium">
        <color auto="1"/>
      </left>
      <right/>
      <top style="thin">
        <color indexed="63"/>
      </top>
      <bottom style="thin">
        <color indexed="63"/>
      </bottom>
      <diagonal/>
    </border>
    <border>
      <left style="medium">
        <color auto="1"/>
      </left>
      <right style="thin">
        <color indexed="63"/>
      </right>
      <top style="medium">
        <color indexed="63"/>
      </top>
      <bottom style="medium">
        <color indexed="63"/>
      </bottom>
      <diagonal/>
    </border>
    <border>
      <left style="medium">
        <color indexed="64"/>
      </left>
      <right/>
      <top style="thin">
        <color indexed="63"/>
      </top>
      <bottom style="thin">
        <color indexed="63"/>
      </bottom>
      <diagonal/>
    </border>
    <border>
      <left/>
      <right/>
      <top style="thin">
        <color indexed="63"/>
      </top>
      <bottom style="thin">
        <color indexed="63"/>
      </bottom>
      <diagonal/>
    </border>
    <border>
      <left style="thin">
        <color auto="1"/>
      </left>
      <right style="medium">
        <color auto="1"/>
      </right>
      <top style="thin">
        <color indexed="64"/>
      </top>
      <bottom style="thin">
        <color indexed="63"/>
      </bottom>
      <diagonal/>
    </border>
    <border>
      <left style="medium">
        <color auto="1"/>
      </left>
      <right style="thin">
        <color auto="1"/>
      </right>
      <top style="thin">
        <color indexed="64"/>
      </top>
      <bottom style="thin">
        <color indexed="63"/>
      </bottom>
      <diagonal/>
    </border>
    <border>
      <left style="medium">
        <color auto="1"/>
      </left>
      <right style="medium">
        <color auto="1"/>
      </right>
      <top style="thin">
        <color auto="1"/>
      </top>
      <bottom style="thin">
        <color indexed="63"/>
      </bottom>
      <diagonal/>
    </border>
    <border>
      <left style="thin">
        <color indexed="63"/>
      </left>
      <right style="thin">
        <color indexed="63"/>
      </right>
      <top/>
      <bottom style="thin">
        <color indexed="63"/>
      </bottom>
      <diagonal/>
    </border>
    <border>
      <left style="thin">
        <color indexed="63"/>
      </left>
      <right/>
      <top/>
      <bottom style="thin">
        <color indexed="63"/>
      </bottom>
      <diagonal/>
    </border>
    <border>
      <left style="medium">
        <color auto="1"/>
      </left>
      <right style="medium">
        <color auto="1"/>
      </right>
      <top style="thin">
        <color indexed="64"/>
      </top>
      <bottom/>
      <diagonal/>
    </border>
    <border>
      <left style="medium">
        <color auto="1"/>
      </left>
      <right style="thin">
        <color indexed="63"/>
      </right>
      <top/>
      <bottom style="thin">
        <color indexed="63"/>
      </bottom>
      <diagonal/>
    </border>
    <border>
      <left style="medium">
        <color indexed="63"/>
      </left>
      <right style="thin">
        <color indexed="63"/>
      </right>
      <top/>
      <bottom style="thin">
        <color indexed="63"/>
      </bottom>
      <diagonal/>
    </border>
    <border>
      <left style="thin">
        <color indexed="63"/>
      </left>
      <right style="medium">
        <color indexed="63"/>
      </right>
      <top/>
      <bottom style="thin">
        <color indexed="63"/>
      </bottom>
      <diagonal/>
    </border>
    <border>
      <left/>
      <right/>
      <top/>
      <bottom style="thin">
        <color indexed="63"/>
      </bottom>
      <diagonal/>
    </border>
    <border>
      <left style="medium">
        <color auto="1"/>
      </left>
      <right/>
      <top/>
      <bottom style="thin">
        <color auto="1"/>
      </bottom>
      <diagonal/>
    </border>
    <border>
      <left style="medium">
        <color auto="1"/>
      </left>
      <right style="thin">
        <color auto="1"/>
      </right>
      <top/>
      <bottom style="thin">
        <color indexed="63"/>
      </bottom>
      <diagonal/>
    </border>
    <border>
      <left style="thin">
        <color auto="1"/>
      </left>
      <right style="thin">
        <color auto="1"/>
      </right>
      <top/>
      <bottom style="thin">
        <color indexed="63"/>
      </bottom>
      <diagonal/>
    </border>
    <border>
      <left style="thin">
        <color auto="1"/>
      </left>
      <right style="thin">
        <color auto="1"/>
      </right>
      <top/>
      <bottom style="thin">
        <color auto="1"/>
      </bottom>
      <diagonal/>
    </border>
    <border>
      <left style="medium">
        <color auto="1"/>
      </left>
      <right style="thin">
        <color indexed="63"/>
      </right>
      <top style="thin">
        <color indexed="63"/>
      </top>
      <bottom style="thin">
        <color indexed="63"/>
      </bottom>
      <diagonal/>
    </border>
    <border>
      <left style="thin">
        <color auto="1"/>
      </left>
      <right style="medium">
        <color auto="1"/>
      </right>
      <top style="thin">
        <color indexed="64"/>
      </top>
      <bottom style="thin">
        <color indexed="64"/>
      </bottom>
      <diagonal/>
    </border>
    <border>
      <left style="medium">
        <color auto="1"/>
      </left>
      <right style="thin">
        <color auto="1"/>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right/>
      <top style="thin">
        <color indexed="63"/>
      </top>
      <bottom style="thin">
        <color indexed="63"/>
      </bottom>
      <diagonal/>
    </border>
    <border>
      <left style="medium">
        <color auto="1"/>
      </left>
      <right style="thin">
        <color auto="1"/>
      </right>
      <top style="thin">
        <color indexed="63"/>
      </top>
      <bottom style="thin">
        <color indexed="63"/>
      </bottom>
      <diagonal/>
    </border>
    <border>
      <left style="thin">
        <color auto="1"/>
      </left>
      <right style="thin">
        <color auto="1"/>
      </right>
      <top style="thin">
        <color indexed="63"/>
      </top>
      <bottom style="thin">
        <color indexed="63"/>
      </bottom>
      <diagonal/>
    </border>
    <border>
      <left style="medium">
        <color auto="1"/>
      </left>
      <right/>
      <top style="thin">
        <color indexed="63"/>
      </top>
      <bottom style="thin">
        <color indexed="63"/>
      </bottom>
      <diagonal/>
    </border>
    <border>
      <left style="medium">
        <color auto="1"/>
      </left>
      <right/>
      <top style="thin">
        <color auto="1"/>
      </top>
      <bottom style="thin">
        <color indexed="63"/>
      </bottom>
      <diagonal/>
    </border>
    <border>
      <left style="thin">
        <color auto="1"/>
      </left>
      <right style="medium">
        <color auto="1"/>
      </right>
      <top style="thin">
        <color indexed="64"/>
      </top>
      <bottom style="thin">
        <color indexed="63"/>
      </bottom>
      <diagonal/>
    </border>
    <border>
      <left style="medium">
        <color auto="1"/>
      </left>
      <right style="thin">
        <color auto="1"/>
      </right>
      <top style="thin">
        <color indexed="64"/>
      </top>
      <bottom style="thin">
        <color indexed="63"/>
      </bottom>
      <diagonal/>
    </border>
    <border>
      <left/>
      <right style="medium">
        <color auto="1"/>
      </right>
      <top style="thin">
        <color auto="1"/>
      </top>
      <bottom style="thin">
        <color indexed="63"/>
      </bottom>
      <diagonal/>
    </border>
    <border>
      <left style="medium">
        <color indexed="63"/>
      </left>
      <right style="medium">
        <color auto="1"/>
      </right>
      <top style="thin">
        <color indexed="63"/>
      </top>
      <bottom style="thin">
        <color indexed="63"/>
      </bottom>
      <diagonal/>
    </border>
    <border>
      <left style="medium">
        <color auto="1"/>
      </left>
      <right style="medium">
        <color auto="1"/>
      </right>
      <top style="thin">
        <color indexed="63"/>
      </top>
      <bottom style="thin">
        <color indexed="63"/>
      </bottom>
      <diagonal/>
    </border>
    <border>
      <left style="thin">
        <color auto="1"/>
      </left>
      <right style="medium">
        <color auto="1"/>
      </right>
      <top style="thin">
        <color indexed="63"/>
      </top>
      <bottom style="thin">
        <color indexed="63"/>
      </bottom>
      <diagonal/>
    </border>
    <border>
      <left/>
      <right style="medium">
        <color auto="1"/>
      </right>
      <top style="thin">
        <color indexed="63"/>
      </top>
      <bottom style="thin">
        <color indexed="63"/>
      </bottom>
      <diagonal/>
    </border>
    <border>
      <left style="medium">
        <color indexed="63"/>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auto="1"/>
      </left>
      <right style="medium">
        <color auto="1"/>
      </right>
      <top style="thin">
        <color indexed="63"/>
      </top>
      <bottom style="medium">
        <color indexed="63"/>
      </bottom>
      <diagonal/>
    </border>
    <border>
      <left style="medium">
        <color auto="1"/>
      </left>
      <right/>
      <top style="thin">
        <color indexed="63"/>
      </top>
      <bottom style="medium">
        <color indexed="63"/>
      </bottom>
      <diagonal/>
    </border>
    <border>
      <left style="medium">
        <color auto="1"/>
      </left>
      <right style="thin">
        <color auto="1"/>
      </right>
      <top style="thin">
        <color indexed="63"/>
      </top>
      <bottom style="medium">
        <color indexed="63"/>
      </bottom>
      <diagonal/>
    </border>
    <border>
      <left style="thin">
        <color auto="1"/>
      </left>
      <right style="thin">
        <color auto="1"/>
      </right>
      <top style="thin">
        <color indexed="63"/>
      </top>
      <bottom style="medium">
        <color indexed="63"/>
      </bottom>
      <diagonal/>
    </border>
    <border>
      <left style="thin">
        <color auto="1"/>
      </left>
      <right style="medium">
        <color auto="1"/>
      </right>
      <top style="thin">
        <color indexed="63"/>
      </top>
      <bottom style="medium">
        <color indexed="63"/>
      </bottom>
      <diagonal/>
    </border>
    <border>
      <left/>
      <right style="medium">
        <color auto="1"/>
      </right>
      <top style="thin">
        <color indexed="63"/>
      </top>
      <bottom style="medium">
        <color indexed="63"/>
      </bottom>
      <diagonal/>
    </border>
    <border>
      <left style="medium">
        <color auto="1"/>
      </left>
      <right style="thin">
        <color indexed="63"/>
      </right>
      <top/>
      <bottom style="thin">
        <color auto="1"/>
      </bottom>
      <diagonal/>
    </border>
    <border>
      <left style="thin">
        <color indexed="63"/>
      </left>
      <right style="thin">
        <color indexed="63"/>
      </right>
      <top/>
      <bottom style="thin">
        <color auto="1"/>
      </bottom>
      <diagonal/>
    </border>
    <border>
      <left style="thin">
        <color indexed="63"/>
      </left>
      <right/>
      <top/>
      <bottom style="thin">
        <color indexed="64"/>
      </bottom>
      <diagonal/>
    </border>
    <border>
      <left style="medium">
        <color indexed="63"/>
      </left>
      <right style="thin">
        <color indexed="63"/>
      </right>
      <top/>
      <bottom style="thin">
        <color auto="1"/>
      </bottom>
      <diagonal/>
    </border>
    <border>
      <left style="thin">
        <color indexed="63"/>
      </left>
      <right style="medium">
        <color indexed="63"/>
      </right>
      <top/>
      <bottom style="thin">
        <color auto="1"/>
      </bottom>
      <diagonal/>
    </border>
    <border>
      <left style="medium">
        <color auto="1"/>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auto="1"/>
      </top>
      <bottom style="thin">
        <color indexed="63"/>
      </bottom>
      <diagonal/>
    </border>
    <border>
      <left style="thin">
        <color indexed="63"/>
      </left>
      <right style="thin">
        <color indexed="63"/>
      </right>
      <top/>
      <bottom style="thin">
        <color indexed="64"/>
      </bottom>
      <diagonal/>
    </border>
    <border>
      <left style="thin">
        <color indexed="63"/>
      </left>
      <right/>
      <top/>
      <bottom style="thin">
        <color auto="1"/>
      </bottom>
      <diagonal/>
    </border>
    <border>
      <left style="medium">
        <color auto="1"/>
      </left>
      <right style="thin">
        <color indexed="63"/>
      </right>
      <top style="medium">
        <color indexed="63"/>
      </top>
      <bottom style="medium">
        <color auto="1"/>
      </bottom>
      <diagonal/>
    </border>
    <border>
      <left style="thin">
        <color indexed="63"/>
      </left>
      <right style="thin">
        <color indexed="63"/>
      </right>
      <top style="medium">
        <color indexed="63"/>
      </top>
      <bottom style="medium">
        <color indexed="63"/>
      </bottom>
      <diagonal/>
    </border>
    <border>
      <left style="thin">
        <color indexed="63"/>
      </left>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auto="1"/>
      </left>
      <right style="medium">
        <color auto="1"/>
      </right>
      <top style="medium">
        <color indexed="63"/>
      </top>
      <bottom style="medium">
        <color indexed="63"/>
      </bottom>
      <diagonal/>
    </border>
    <border>
      <left style="medium">
        <color auto="1"/>
      </left>
      <right/>
      <top style="medium">
        <color indexed="63"/>
      </top>
      <bottom style="medium">
        <color indexed="63"/>
      </bottom>
      <diagonal/>
    </border>
    <border>
      <left style="medium">
        <color auto="1"/>
      </left>
      <right style="thin">
        <color auto="1"/>
      </right>
      <top style="medium">
        <color indexed="63"/>
      </top>
      <bottom style="medium">
        <color indexed="63"/>
      </bottom>
      <diagonal/>
    </border>
    <border>
      <left style="thin">
        <color auto="1"/>
      </left>
      <right style="thin">
        <color auto="1"/>
      </right>
      <top style="medium">
        <color indexed="63"/>
      </top>
      <bottom style="medium">
        <color indexed="63"/>
      </bottom>
      <diagonal/>
    </border>
    <border>
      <left style="thin">
        <color auto="1"/>
      </left>
      <right style="medium">
        <color auto="1"/>
      </right>
      <top style="medium">
        <color indexed="63"/>
      </top>
      <bottom style="medium">
        <color indexed="63"/>
      </bottom>
      <diagonal/>
    </border>
    <border>
      <left/>
      <right style="medium">
        <color auto="1"/>
      </right>
      <top style="medium">
        <color indexed="63"/>
      </top>
      <bottom style="medium">
        <color indexed="63"/>
      </bottom>
      <diagonal/>
    </border>
    <border>
      <left style="medium">
        <color auto="1"/>
      </left>
      <right style="thin">
        <color auto="1"/>
      </right>
      <top style="medium">
        <color indexed="63"/>
      </top>
      <bottom style="thin">
        <color auto="1"/>
      </bottom>
      <diagonal/>
    </border>
    <border>
      <left style="thin">
        <color auto="1"/>
      </left>
      <right style="thin">
        <color auto="1"/>
      </right>
      <top style="medium">
        <color indexed="63"/>
      </top>
      <bottom style="thin">
        <color auto="1"/>
      </bottom>
      <diagonal/>
    </border>
    <border>
      <left style="medium">
        <color auto="1"/>
      </left>
      <right/>
      <top/>
      <bottom style="thin">
        <color indexed="63"/>
      </bottom>
      <diagonal/>
    </border>
    <border>
      <left style="medium">
        <color auto="1"/>
      </left>
      <right style="thin">
        <color indexed="63"/>
      </right>
      <top style="medium">
        <color indexed="63"/>
      </top>
      <bottom style="medium">
        <color indexed="63"/>
      </bottom>
      <diagonal/>
    </border>
    <border>
      <left style="medium">
        <color indexed="63"/>
      </left>
      <right/>
      <top style="medium">
        <color indexed="63"/>
      </top>
      <bottom style="medium">
        <color indexed="63"/>
      </bottom>
      <diagonal/>
    </border>
    <border>
      <left/>
      <right style="thin">
        <color indexed="63"/>
      </right>
      <top style="medium">
        <color indexed="63"/>
      </top>
      <bottom style="medium">
        <color indexed="63"/>
      </bottom>
      <diagonal/>
    </border>
    <border>
      <left style="medium">
        <color indexed="63"/>
      </left>
      <right style="medium">
        <color auto="1"/>
      </right>
      <top style="medium">
        <color indexed="63"/>
      </top>
      <bottom style="medium">
        <color indexed="63"/>
      </bottom>
      <diagonal/>
    </border>
    <border>
      <left style="medium">
        <color auto="1"/>
      </left>
      <right style="thin">
        <color indexed="63"/>
      </right>
      <top style="medium">
        <color indexed="63"/>
      </top>
      <bottom/>
      <diagonal/>
    </border>
    <border>
      <left style="medium">
        <color indexed="63"/>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right/>
      <top style="medium">
        <color indexed="63"/>
      </top>
      <bottom/>
      <diagonal/>
    </border>
    <border>
      <left style="medium">
        <color auto="1"/>
      </left>
      <right style="thin">
        <color auto="1"/>
      </right>
      <top style="medium">
        <color indexed="63"/>
      </top>
      <bottom/>
      <diagonal/>
    </border>
    <border>
      <left style="thin">
        <color auto="1"/>
      </left>
      <right style="thin">
        <color auto="1"/>
      </right>
      <top style="medium">
        <color indexed="63"/>
      </top>
      <bottom/>
      <diagonal/>
    </border>
    <border>
      <left style="thin">
        <color auto="1"/>
      </left>
      <right style="medium">
        <color auto="1"/>
      </right>
      <top style="medium">
        <color indexed="63"/>
      </top>
      <bottom/>
      <diagonal/>
    </border>
    <border>
      <left style="medium">
        <color auto="1"/>
      </left>
      <right style="thin">
        <color indexed="63"/>
      </right>
      <top style="medium">
        <color indexed="63"/>
      </top>
      <bottom style="thin">
        <color indexed="64"/>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top style="medium">
        <color indexed="63"/>
      </top>
      <bottom style="thin">
        <color indexed="63"/>
      </bottom>
      <diagonal/>
    </border>
    <border>
      <left style="medium">
        <color auto="1"/>
      </left>
      <right style="medium">
        <color auto="1"/>
      </right>
      <top style="medium">
        <color indexed="63"/>
      </top>
      <bottom style="thin">
        <color indexed="63"/>
      </bottom>
      <diagonal/>
    </border>
    <border>
      <left style="medium">
        <color auto="1"/>
      </left>
      <right/>
      <top style="medium">
        <color indexed="63"/>
      </top>
      <bottom style="thin">
        <color indexed="63"/>
      </bottom>
      <diagonal/>
    </border>
    <border>
      <left style="medium">
        <color auto="1"/>
      </left>
      <right style="thin">
        <color auto="1"/>
      </right>
      <top style="medium">
        <color indexed="63"/>
      </top>
      <bottom style="thin">
        <color indexed="63"/>
      </bottom>
      <diagonal/>
    </border>
    <border>
      <left style="thin">
        <color indexed="64"/>
      </left>
      <right style="thin">
        <color indexed="64"/>
      </right>
      <top style="medium">
        <color indexed="63"/>
      </top>
      <bottom style="thin">
        <color indexed="63"/>
      </bottom>
      <diagonal/>
    </border>
    <border>
      <left style="thin">
        <color indexed="64"/>
      </left>
      <right style="medium">
        <color auto="1"/>
      </right>
      <top style="medium">
        <color indexed="63"/>
      </top>
      <bottom style="thin">
        <color indexed="63"/>
      </bottom>
      <diagonal/>
    </border>
    <border>
      <left/>
      <right style="medium">
        <color auto="1"/>
      </right>
      <top style="medium">
        <color indexed="63"/>
      </top>
      <bottom style="thin">
        <color indexed="63"/>
      </bottom>
      <diagonal/>
    </border>
    <border>
      <left style="medium">
        <color auto="1"/>
      </left>
      <right/>
      <top style="thin">
        <color indexed="63"/>
      </top>
      <bottom style="thin">
        <color auto="1"/>
      </bottom>
      <diagonal/>
    </border>
    <border>
      <left/>
      <right/>
      <top style="thin">
        <color indexed="63"/>
      </top>
      <bottom style="thin">
        <color auto="1"/>
      </bottom>
      <diagonal/>
    </border>
    <border>
      <left style="thin">
        <color indexed="63"/>
      </left>
      <right style="thin">
        <color indexed="64"/>
      </right>
      <top style="thin">
        <color indexed="63"/>
      </top>
      <bottom style="thin">
        <color indexed="63"/>
      </bottom>
      <diagonal/>
    </border>
    <border>
      <left style="medium">
        <color auto="1"/>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3"/>
      </left>
      <right/>
      <top style="medium">
        <color indexed="63"/>
      </top>
      <bottom style="medium">
        <color auto="1"/>
      </bottom>
      <diagonal/>
    </border>
    <border>
      <left style="medium">
        <color indexed="63"/>
      </left>
      <right style="thin">
        <color indexed="63"/>
      </right>
      <top style="medium">
        <color indexed="63"/>
      </top>
      <bottom style="medium">
        <color auto="1"/>
      </bottom>
      <diagonal/>
    </border>
    <border>
      <left style="thin">
        <color indexed="63"/>
      </left>
      <right style="thin">
        <color indexed="63"/>
      </right>
      <top style="medium">
        <color indexed="63"/>
      </top>
      <bottom style="medium">
        <color auto="1"/>
      </bottom>
      <diagonal/>
    </border>
    <border>
      <left style="thin">
        <color indexed="63"/>
      </left>
      <right style="medium">
        <color indexed="63"/>
      </right>
      <top style="medium">
        <color indexed="63"/>
      </top>
      <bottom style="medium">
        <color auto="1"/>
      </bottom>
      <diagonal/>
    </border>
    <border>
      <left/>
      <right/>
      <top style="medium">
        <color indexed="63"/>
      </top>
      <bottom style="medium">
        <color auto="1"/>
      </bottom>
      <diagonal/>
    </border>
    <border>
      <left style="medium">
        <color auto="1"/>
      </left>
      <right style="medium">
        <color auto="1"/>
      </right>
      <top style="medium">
        <color indexed="63"/>
      </top>
      <bottom style="medium">
        <color auto="1"/>
      </bottom>
      <diagonal/>
    </border>
    <border>
      <left style="medium">
        <color auto="1"/>
      </left>
      <right/>
      <top style="medium">
        <color indexed="63"/>
      </top>
      <bottom style="medium">
        <color auto="1"/>
      </bottom>
      <diagonal/>
    </border>
    <border>
      <left style="medium">
        <color auto="1"/>
      </left>
      <right style="thin">
        <color auto="1"/>
      </right>
      <top style="medium">
        <color indexed="63"/>
      </top>
      <bottom style="medium">
        <color auto="1"/>
      </bottom>
      <diagonal/>
    </border>
    <border>
      <left style="thin">
        <color auto="1"/>
      </left>
      <right style="thin">
        <color auto="1"/>
      </right>
      <top style="medium">
        <color indexed="63"/>
      </top>
      <bottom style="medium">
        <color auto="1"/>
      </bottom>
      <diagonal/>
    </border>
    <border>
      <left style="thin">
        <color auto="1"/>
      </left>
      <right style="medium">
        <color auto="1"/>
      </right>
      <top style="medium">
        <color indexed="63"/>
      </top>
      <bottom style="medium">
        <color auto="1"/>
      </bottom>
      <diagonal/>
    </border>
    <border>
      <left/>
      <right style="medium">
        <color auto="1"/>
      </right>
      <top style="medium">
        <color indexed="63"/>
      </top>
      <bottom style="medium">
        <color auto="1"/>
      </bottom>
      <diagonal/>
    </border>
    <border>
      <left style="thin">
        <color auto="1"/>
      </left>
      <right style="medium">
        <color auto="1"/>
      </right>
      <top/>
      <bottom style="thin">
        <color indexed="64"/>
      </bottom>
      <diagonal/>
    </border>
    <border>
      <left style="medium">
        <color auto="1"/>
      </left>
      <right style="thin">
        <color auto="1"/>
      </right>
      <top/>
      <bottom style="thin">
        <color indexed="64"/>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bottom style="thin">
        <color indexed="63"/>
      </bottom>
      <diagonal/>
    </border>
    <border>
      <left style="thin">
        <color auto="1"/>
      </left>
      <right style="medium">
        <color auto="1"/>
      </right>
      <top style="thin">
        <color indexed="64"/>
      </top>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style="thin">
        <color auto="1"/>
      </left>
      <right style="medium">
        <color auto="1"/>
      </right>
      <top style="medium">
        <color auto="1"/>
      </top>
      <bottom style="thick">
        <color auto="1"/>
      </bottom>
      <diagonal/>
    </border>
    <border>
      <left/>
      <right style="medium">
        <color auto="1"/>
      </right>
      <top style="medium">
        <color auto="1"/>
      </top>
      <bottom style="thick">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medium">
        <color auto="1"/>
      </left>
      <right style="thin">
        <color auto="1"/>
      </right>
      <top style="medium">
        <color auto="1"/>
      </top>
      <bottom style="thin">
        <color indexed="63"/>
      </bottom>
      <diagonal/>
    </border>
    <border>
      <left style="thin">
        <color auto="1"/>
      </left>
      <right style="medium">
        <color auto="1"/>
      </right>
      <top style="medium">
        <color auto="1"/>
      </top>
      <bottom style="thin">
        <color indexed="64"/>
      </bottom>
      <diagonal/>
    </border>
    <border>
      <left style="medium">
        <color auto="1"/>
      </left>
      <right style="thin">
        <color auto="1"/>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medium">
        <color auto="1"/>
      </right>
      <top style="medium">
        <color auto="1"/>
      </top>
      <bottom style="medium">
        <color auto="1"/>
      </bottom>
      <diagonal/>
    </border>
    <border>
      <left style="medium">
        <color auto="1"/>
      </left>
      <right style="thin">
        <color indexed="63"/>
      </right>
      <top/>
      <bottom style="thin">
        <color auto="1"/>
      </bottom>
      <diagonal/>
    </border>
    <border>
      <left style="thin">
        <color indexed="63"/>
      </left>
      <right style="medium">
        <color indexed="63"/>
      </right>
      <top/>
      <bottom style="thin">
        <color auto="1"/>
      </bottom>
      <diagonal/>
    </border>
    <border>
      <left style="thin">
        <color indexed="63"/>
      </left>
      <right style="thin">
        <color indexed="63"/>
      </right>
      <top style="thin">
        <color indexed="63"/>
      </top>
      <bottom style="thin">
        <color auto="1"/>
      </bottom>
      <diagonal/>
    </border>
    <border>
      <left style="thin">
        <color indexed="63"/>
      </left>
      <right style="medium">
        <color indexed="63"/>
      </right>
      <top style="thin">
        <color indexed="63"/>
      </top>
      <bottom style="thin">
        <color auto="1"/>
      </bottom>
      <diagonal/>
    </border>
    <border>
      <left style="thin">
        <color indexed="63"/>
      </left>
      <right/>
      <top/>
      <bottom style="thin">
        <color indexed="63"/>
      </bottom>
      <diagonal/>
    </border>
    <border>
      <left style="thin">
        <color indexed="63"/>
      </left>
      <right/>
      <top style="thin">
        <color indexed="63"/>
      </top>
      <bottom style="thin">
        <color auto="1"/>
      </bottom>
      <diagonal/>
    </border>
    <border>
      <left style="thin">
        <color indexed="63"/>
      </left>
      <right/>
      <top style="thin">
        <color indexed="63"/>
      </top>
      <bottom style="thin">
        <color indexed="63"/>
      </bottom>
      <diagonal/>
    </border>
    <border>
      <left style="medium">
        <color indexed="63"/>
      </left>
      <right style="medium">
        <color indexed="63"/>
      </right>
      <top style="thin">
        <color auto="1"/>
      </top>
      <bottom/>
      <diagonal/>
    </border>
    <border>
      <left style="medium">
        <color indexed="63"/>
      </left>
      <right style="medium">
        <color indexed="63"/>
      </right>
      <top style="thin">
        <color indexed="63"/>
      </top>
      <bottom style="thin">
        <color indexed="63"/>
      </bottom>
      <diagonal/>
    </border>
    <border>
      <left style="medium">
        <color indexed="63"/>
      </left>
      <right style="medium">
        <color indexed="63"/>
      </right>
      <top/>
      <bottom style="thin">
        <color indexed="63"/>
      </bottom>
      <diagonal/>
    </border>
    <border>
      <left style="medium">
        <color indexed="63"/>
      </left>
      <right style="medium">
        <color indexed="63"/>
      </right>
      <top style="thin">
        <color indexed="63"/>
      </top>
      <bottom style="thin">
        <color auto="1"/>
      </bottom>
      <diagonal/>
    </border>
    <border>
      <left style="medium">
        <color indexed="63"/>
      </left>
      <right style="medium">
        <color indexed="63"/>
      </right>
      <top/>
      <bottom/>
      <diagonal/>
    </border>
    <border>
      <left style="medium">
        <color indexed="63"/>
      </left>
      <right style="medium">
        <color indexed="63"/>
      </right>
      <top style="medium">
        <color indexed="63"/>
      </top>
      <bottom style="medium">
        <color indexed="63"/>
      </bottom>
      <diagonal/>
    </border>
    <border>
      <left/>
      <right style="thin">
        <color indexed="63"/>
      </right>
      <top style="thin">
        <color indexed="63"/>
      </top>
      <bottom style="thin">
        <color indexed="63"/>
      </bottom>
      <diagonal/>
    </border>
    <border>
      <left/>
      <right/>
      <top style="medium">
        <color indexed="64"/>
      </top>
      <bottom style="thin">
        <color indexed="63"/>
      </bottom>
      <diagonal/>
    </border>
    <border>
      <left/>
      <right style="medium">
        <color auto="1"/>
      </right>
      <top style="medium">
        <color indexed="64"/>
      </top>
      <bottom style="thin">
        <color indexed="63"/>
      </bottom>
      <diagonal/>
    </border>
    <border>
      <left style="medium">
        <color indexed="63"/>
      </left>
      <right style="medium">
        <color indexed="63"/>
      </right>
      <top style="thin">
        <color indexed="63"/>
      </top>
      <bottom/>
      <diagonal/>
    </border>
    <border>
      <left style="medium">
        <color indexed="63"/>
      </left>
      <right style="medium">
        <color indexed="63"/>
      </right>
      <top style="thin">
        <color auto="1"/>
      </top>
      <bottom style="thin">
        <color indexed="63"/>
      </bottom>
      <diagonal/>
    </border>
    <border>
      <left style="medium">
        <color indexed="63"/>
      </left>
      <right style="medium">
        <color indexed="63"/>
      </right>
      <top/>
      <bottom style="thin">
        <color auto="1"/>
      </bottom>
      <diagonal/>
    </border>
    <border>
      <left style="medium">
        <color indexed="63"/>
      </left>
      <right style="medium">
        <color indexed="63"/>
      </right>
      <top/>
      <bottom style="medium">
        <color indexed="63"/>
      </bottom>
      <diagonal/>
    </border>
    <border>
      <left style="medium">
        <color auto="1"/>
      </left>
      <right style="medium">
        <color indexed="63"/>
      </right>
      <top style="thin">
        <color auto="1"/>
      </top>
      <bottom style="thin">
        <color indexed="63"/>
      </bottom>
      <diagonal/>
    </border>
    <border>
      <left style="medium">
        <color auto="1"/>
      </left>
      <right style="medium">
        <color indexed="63"/>
      </right>
      <top/>
      <bottom style="thin">
        <color indexed="63"/>
      </bottom>
      <diagonal/>
    </border>
    <border>
      <left style="medium">
        <color auto="1"/>
      </left>
      <right style="medium">
        <color indexed="63"/>
      </right>
      <top/>
      <bottom/>
      <diagonal/>
    </border>
    <border>
      <left style="medium">
        <color auto="1"/>
      </left>
      <right style="medium">
        <color indexed="63"/>
      </right>
      <top style="thin">
        <color indexed="63"/>
      </top>
      <bottom style="thin">
        <color indexed="63"/>
      </bottom>
      <diagonal/>
    </border>
    <border>
      <left style="medium">
        <color auto="1"/>
      </left>
      <right style="medium">
        <color indexed="63"/>
      </right>
      <top style="thin">
        <color indexed="64"/>
      </top>
      <bottom style="thin">
        <color indexed="64"/>
      </bottom>
      <diagonal/>
    </border>
    <border>
      <left style="medium">
        <color auto="1"/>
      </left>
      <right style="medium">
        <color indexed="63"/>
      </right>
      <top/>
      <bottom style="medium">
        <color indexed="63"/>
      </bottom>
      <diagonal/>
    </border>
    <border>
      <left style="thin">
        <color indexed="63"/>
      </left>
      <right/>
      <top style="thin">
        <color indexed="63"/>
      </top>
      <bottom style="thin">
        <color indexed="63"/>
      </bottom>
      <diagonal/>
    </border>
    <border>
      <left style="medium">
        <color indexed="63"/>
      </left>
      <right style="medium">
        <color indexed="63"/>
      </right>
      <top style="thin">
        <color indexed="63"/>
      </top>
      <bottom style="thin">
        <color indexed="63"/>
      </bottom>
      <diagonal/>
    </border>
    <border>
      <left style="thin">
        <color indexed="63"/>
      </left>
      <right/>
      <top style="thin">
        <color indexed="63"/>
      </top>
      <bottom/>
      <diagonal/>
    </border>
    <border>
      <left style="medium">
        <color indexed="63"/>
      </left>
      <right style="medium">
        <color indexed="63"/>
      </right>
      <top style="thin">
        <color indexed="63"/>
      </top>
      <bottom/>
      <diagonal/>
    </border>
    <border>
      <left style="thin">
        <color indexed="63"/>
      </left>
      <right/>
      <top style="thin">
        <color auto="1"/>
      </top>
      <bottom style="thin">
        <color indexed="63"/>
      </bottom>
      <diagonal/>
    </border>
    <border>
      <left style="medium">
        <color indexed="63"/>
      </left>
      <right style="medium">
        <color indexed="63"/>
      </right>
      <top style="thin">
        <color auto="1"/>
      </top>
      <bottom style="thin">
        <color indexed="63"/>
      </bottom>
      <diagonal/>
    </border>
    <border>
      <left style="thin">
        <color indexed="63"/>
      </left>
      <right/>
      <top/>
      <bottom style="thin">
        <color indexed="64"/>
      </bottom>
      <diagonal/>
    </border>
    <border>
      <left style="thin">
        <color indexed="63"/>
      </left>
      <right/>
      <top style="thin">
        <color indexed="64"/>
      </top>
      <bottom style="thin">
        <color indexed="63"/>
      </bottom>
      <diagonal/>
    </border>
    <border>
      <left style="thin">
        <color indexed="63"/>
      </left>
      <right/>
      <top style="thin">
        <color indexed="63"/>
      </top>
      <bottom style="thin">
        <color auto="1"/>
      </bottom>
      <diagonal/>
    </border>
    <border>
      <left style="medium">
        <color indexed="63"/>
      </left>
      <right style="medium">
        <color indexed="63"/>
      </right>
      <top style="thin">
        <color indexed="64"/>
      </top>
      <bottom style="thin">
        <color indexed="63"/>
      </bottom>
      <diagonal/>
    </border>
    <border>
      <left style="medium">
        <color indexed="63"/>
      </left>
      <right style="medium">
        <color indexed="63"/>
      </right>
      <top style="thin">
        <color indexed="63"/>
      </top>
      <bottom style="thin">
        <color auto="1"/>
      </bottom>
      <diagonal/>
    </border>
    <border>
      <left style="thin">
        <color indexed="64"/>
      </left>
      <right/>
      <top style="thin">
        <color indexed="63"/>
      </top>
      <bottom style="thin">
        <color indexed="64"/>
      </bottom>
      <diagonal/>
    </border>
    <border>
      <left style="thin">
        <color indexed="64"/>
      </left>
      <right/>
      <top style="thin">
        <color indexed="63"/>
      </top>
      <bottom/>
      <diagonal/>
    </border>
    <border>
      <left style="medium">
        <color auto="1"/>
      </left>
      <right style="medium">
        <color indexed="63"/>
      </right>
      <top style="thin">
        <color auto="1"/>
      </top>
      <bottom style="thin">
        <color indexed="63"/>
      </bottom>
      <diagonal/>
    </border>
    <border>
      <left style="medium">
        <color auto="1"/>
      </left>
      <right style="medium">
        <color indexed="63"/>
      </right>
      <top/>
      <bottom style="thin">
        <color indexed="64"/>
      </bottom>
      <diagonal/>
    </border>
    <border>
      <left style="medium">
        <color auto="1"/>
      </left>
      <right style="medium">
        <color indexed="63"/>
      </right>
      <top style="thin">
        <color indexed="63"/>
      </top>
      <bottom style="thin">
        <color indexed="63"/>
      </bottom>
      <diagonal/>
    </border>
    <border>
      <left style="medium">
        <color auto="1"/>
      </left>
      <right style="medium">
        <color indexed="63"/>
      </right>
      <top style="thin">
        <color indexed="63"/>
      </top>
      <bottom style="thin">
        <color auto="1"/>
      </bottom>
      <diagonal/>
    </border>
    <border>
      <left style="medium">
        <color auto="1"/>
      </left>
      <right style="medium">
        <color indexed="63"/>
      </right>
      <top style="medium">
        <color indexed="64"/>
      </top>
      <bottom style="medium">
        <color indexed="64"/>
      </bottom>
      <diagonal/>
    </border>
    <border>
      <left style="medium">
        <color indexed="63"/>
      </left>
      <right style="medium">
        <color indexed="63"/>
      </right>
      <top style="medium">
        <color indexed="63"/>
      </top>
      <bottom style="medium">
        <color auto="1"/>
      </bottom>
      <diagonal/>
    </border>
    <border>
      <left style="thin">
        <color indexed="63"/>
      </left>
      <right style="thin">
        <color indexed="64"/>
      </right>
      <top style="thin">
        <color indexed="63"/>
      </top>
      <bottom/>
      <diagonal/>
    </border>
    <border>
      <left style="medium">
        <color auto="1"/>
      </left>
      <right style="medium">
        <color auto="1"/>
      </right>
      <top style="thin">
        <color indexed="63"/>
      </top>
      <bottom/>
      <diagonal/>
    </border>
    <border>
      <left style="medium">
        <color auto="1"/>
      </left>
      <right/>
      <top style="thin">
        <color indexed="63"/>
      </top>
      <bottom/>
      <diagonal/>
    </border>
    <border>
      <left style="medium">
        <color auto="1"/>
      </left>
      <right style="thin">
        <color auto="1"/>
      </right>
      <top style="thin">
        <color indexed="63"/>
      </top>
      <bottom/>
      <diagonal/>
    </border>
    <border>
      <left style="thin">
        <color auto="1"/>
      </left>
      <right style="thin">
        <color auto="1"/>
      </right>
      <top style="thin">
        <color indexed="63"/>
      </top>
      <bottom/>
      <diagonal/>
    </border>
    <border>
      <left style="thin">
        <color auto="1"/>
      </left>
      <right style="medium">
        <color auto="1"/>
      </right>
      <top style="thin">
        <color indexed="63"/>
      </top>
      <bottom/>
      <diagonal/>
    </border>
    <border>
      <left/>
      <right style="medium">
        <color auto="1"/>
      </right>
      <top style="thin">
        <color indexed="63"/>
      </top>
      <bottom/>
      <diagonal/>
    </border>
    <border>
      <left style="thin">
        <color indexed="63"/>
      </left>
      <right style="thin">
        <color indexed="64"/>
      </right>
      <top/>
      <bottom style="thin">
        <color indexed="63"/>
      </bottom>
      <diagonal/>
    </border>
    <border>
      <left style="medium">
        <color auto="1"/>
      </left>
      <right style="medium">
        <color auto="1"/>
      </right>
      <top/>
      <bottom style="thin">
        <color indexed="63"/>
      </bottom>
      <diagonal/>
    </border>
    <border>
      <left style="medium">
        <color auto="1"/>
      </left>
      <right/>
      <top/>
      <bottom style="thin">
        <color indexed="63"/>
      </bottom>
      <diagonal/>
    </border>
    <border>
      <left style="medium">
        <color auto="1"/>
      </left>
      <right style="thin">
        <color auto="1"/>
      </right>
      <top/>
      <bottom style="thin">
        <color indexed="63"/>
      </bottom>
      <diagonal/>
    </border>
    <border>
      <left style="thin">
        <color auto="1"/>
      </left>
      <right style="thin">
        <color auto="1"/>
      </right>
      <top/>
      <bottom style="thin">
        <color indexed="63"/>
      </bottom>
      <diagonal/>
    </border>
    <border>
      <left style="thin">
        <color auto="1"/>
      </left>
      <right style="medium">
        <color auto="1"/>
      </right>
      <top/>
      <bottom style="thin">
        <color indexed="63"/>
      </bottom>
      <diagonal/>
    </border>
    <border>
      <left/>
      <right style="medium">
        <color auto="1"/>
      </right>
      <top/>
      <bottom style="thin">
        <color indexed="63"/>
      </bottom>
      <diagonal/>
    </border>
    <border>
      <left style="medium">
        <color indexed="63"/>
      </left>
      <right style="thin">
        <color indexed="64"/>
      </right>
      <top style="medium">
        <color indexed="63"/>
      </top>
      <bottom style="medium">
        <color indexed="63"/>
      </bottom>
      <diagonal/>
    </border>
    <border>
      <left style="medium">
        <color indexed="63"/>
      </left>
      <right style="medium">
        <color auto="1"/>
      </right>
      <top style="thin">
        <color auto="1"/>
      </top>
      <bottom style="medium">
        <color indexed="63"/>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indexed="63"/>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diagonal/>
    </border>
    <border>
      <left style="thin">
        <color auto="1"/>
      </left>
      <right style="medium">
        <color auto="1"/>
      </right>
      <top/>
      <bottom style="thin">
        <color indexed="64"/>
      </bottom>
      <diagonal/>
    </border>
    <border>
      <left style="medium">
        <color auto="1"/>
      </left>
      <right style="thin">
        <color auto="1"/>
      </right>
      <top/>
      <bottom style="thin">
        <color indexed="64"/>
      </bottom>
      <diagonal/>
    </border>
    <border>
      <left style="thin">
        <color indexed="64"/>
      </left>
      <right style="thin">
        <color indexed="64"/>
      </right>
      <top style="medium">
        <color indexed="63"/>
      </top>
      <bottom style="medium">
        <color indexed="63"/>
      </bottom>
      <diagonal/>
    </border>
    <border>
      <left style="thin">
        <color auto="1"/>
      </left>
      <right style="medium">
        <color auto="1"/>
      </right>
      <top style="medium">
        <color indexed="63"/>
      </top>
      <bottom style="medium">
        <color indexed="63"/>
      </bottom>
      <diagonal/>
    </border>
    <border>
      <left style="medium">
        <color auto="1"/>
      </left>
      <right style="thin">
        <color indexed="63"/>
      </right>
      <top/>
      <bottom style="thin">
        <color indexed="63"/>
      </bottom>
      <diagonal/>
    </border>
    <border>
      <left/>
      <right style="thin">
        <color indexed="63"/>
      </right>
      <top/>
      <bottom style="thin">
        <color indexed="63"/>
      </bottom>
      <diagonal/>
    </border>
    <border>
      <left style="thin">
        <color auto="1"/>
      </left>
      <right style="thin">
        <color auto="1"/>
      </right>
      <top/>
      <bottom style="thin">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indexed="63"/>
      </bottom>
      <diagonal/>
    </border>
    <border>
      <left style="thin">
        <color auto="1"/>
      </left>
      <right style="thin">
        <color auto="1"/>
      </right>
      <top/>
      <bottom style="thin">
        <color indexed="63"/>
      </bottom>
      <diagonal/>
    </border>
    <border>
      <left style="thin">
        <color auto="1"/>
      </left>
      <right style="medium">
        <color auto="1"/>
      </right>
      <top/>
      <bottom style="thin">
        <color indexed="64"/>
      </bottom>
      <diagonal/>
    </border>
    <border>
      <left/>
      <right style="medium">
        <color auto="1"/>
      </right>
      <top/>
      <bottom style="thin">
        <color indexed="64"/>
      </bottom>
      <diagonal/>
    </border>
    <border>
      <left style="medium">
        <color auto="1"/>
      </left>
      <right style="thin">
        <color indexed="63"/>
      </right>
      <top style="medium">
        <color auto="1"/>
      </top>
      <bottom style="medium">
        <color auto="1"/>
      </bottom>
      <diagonal/>
    </border>
    <border>
      <left style="thin">
        <color indexed="63"/>
      </left>
      <right/>
      <top style="medium">
        <color auto="1"/>
      </top>
      <bottom style="medium">
        <color auto="1"/>
      </bottom>
      <diagonal/>
    </border>
    <border>
      <left style="medium">
        <color indexed="63"/>
      </left>
      <right style="medium">
        <color indexed="63"/>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indexed="63"/>
      </top>
      <bottom style="thin">
        <color auto="1"/>
      </bottom>
      <diagonal/>
    </border>
    <border>
      <left style="thin">
        <color auto="1"/>
      </left>
      <right style="thin">
        <color auto="1"/>
      </right>
      <top style="thin">
        <color indexed="63"/>
      </top>
      <bottom style="thin">
        <color auto="1"/>
      </bottom>
      <diagonal/>
    </border>
    <border>
      <left style="thin">
        <color auto="1"/>
      </left>
      <right/>
      <top style="medium">
        <color auto="1"/>
      </top>
      <bottom style="thin">
        <color indexed="63"/>
      </bottom>
      <diagonal/>
    </border>
    <border>
      <left style="thin">
        <color auto="1"/>
      </left>
      <right style="medium">
        <color auto="1"/>
      </right>
      <top style="medium">
        <color auto="1"/>
      </top>
      <bottom style="thin">
        <color indexed="63"/>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bottom style="thin">
        <color indexed="63"/>
      </bottom>
      <diagonal/>
    </border>
    <border>
      <left/>
      <right/>
      <top/>
      <bottom style="thin">
        <color indexed="63"/>
      </bottom>
      <diagonal/>
    </border>
    <border>
      <left style="medium">
        <color auto="1"/>
      </left>
      <right style="medium">
        <color auto="1"/>
      </right>
      <top/>
      <bottom style="thin">
        <color indexed="63"/>
      </bottom>
      <diagonal/>
    </border>
    <border>
      <left style="medium">
        <color auto="1"/>
      </left>
      <right/>
      <top/>
      <bottom style="thin">
        <color indexed="63"/>
      </bottom>
      <diagonal/>
    </border>
    <border>
      <left style="medium">
        <color auto="1"/>
      </left>
      <right style="thin">
        <color auto="1"/>
      </right>
      <top/>
      <bottom style="thin">
        <color indexed="63"/>
      </bottom>
      <diagonal/>
    </border>
    <border>
      <left style="thin">
        <color auto="1"/>
      </left>
      <right style="thin">
        <color auto="1"/>
      </right>
      <top/>
      <bottom style="thin">
        <color indexed="63"/>
      </bottom>
      <diagonal/>
    </border>
    <border>
      <left style="thin">
        <color auto="1"/>
      </left>
      <right style="medium">
        <color auto="1"/>
      </right>
      <top/>
      <bottom style="thin">
        <color indexed="63"/>
      </bottom>
      <diagonal/>
    </border>
    <border>
      <left/>
      <right style="medium">
        <color auto="1"/>
      </right>
      <top/>
      <bottom style="thin">
        <color indexed="63"/>
      </bottom>
      <diagonal/>
    </border>
    <border>
      <left style="medium">
        <color indexed="63"/>
      </left>
      <right style="thin">
        <color indexed="63"/>
      </right>
      <top style="medium">
        <color auto="1"/>
      </top>
      <bottom style="medium">
        <color auto="1"/>
      </bottom>
      <diagonal/>
    </border>
    <border>
      <left style="thin">
        <color indexed="63"/>
      </left>
      <right style="thin">
        <color indexed="63"/>
      </right>
      <top style="medium">
        <color auto="1"/>
      </top>
      <bottom style="medium">
        <color auto="1"/>
      </bottom>
      <diagonal/>
    </border>
    <border>
      <left style="thin">
        <color indexed="63"/>
      </left>
      <right style="medium">
        <color indexed="63"/>
      </right>
      <top style="medium">
        <color auto="1"/>
      </top>
      <bottom style="medium">
        <color auto="1"/>
      </bottom>
      <diagonal/>
    </border>
    <border>
      <left style="medium">
        <color auto="1"/>
      </left>
      <right/>
      <top style="medium">
        <color auto="1"/>
      </top>
      <bottom style="medium">
        <color auto="1"/>
      </bottom>
      <diagonal/>
    </border>
    <border>
      <left style="medium">
        <color indexed="63"/>
      </left>
      <right style="medium">
        <color auto="1"/>
      </right>
      <top style="thin">
        <color indexed="64"/>
      </top>
      <bottom style="medium">
        <color indexed="63"/>
      </bottom>
      <diagonal/>
    </border>
    <border>
      <left/>
      <right style="thin">
        <color auto="1"/>
      </right>
      <top/>
      <bottom style="thin">
        <color indexed="63"/>
      </bottom>
      <diagonal/>
    </border>
    <border>
      <left style="thin">
        <color auto="1"/>
      </left>
      <right/>
      <top/>
      <bottom style="thin">
        <color indexed="63"/>
      </bottom>
      <diagonal/>
    </border>
    <border>
      <left/>
      <right/>
      <top style="thin">
        <color auto="1"/>
      </top>
      <bottom style="thin">
        <color auto="1"/>
      </bottom>
      <diagonal/>
    </border>
    <border>
      <left style="medium">
        <color indexed="63"/>
      </left>
      <right style="thin">
        <color indexed="63"/>
      </right>
      <top style="thin">
        <color auto="1"/>
      </top>
      <bottom style="thin">
        <color auto="1"/>
      </bottom>
      <diagonal/>
    </border>
    <border>
      <left style="thin">
        <color indexed="63"/>
      </left>
      <right style="medium">
        <color indexed="63"/>
      </right>
      <top style="thin">
        <color auto="1"/>
      </top>
      <bottom style="thin">
        <color auto="1"/>
      </bottom>
      <diagonal/>
    </border>
    <border>
      <left style="thin">
        <color indexed="64"/>
      </left>
      <right style="medium">
        <color auto="1"/>
      </right>
      <top style="thin">
        <color auto="1"/>
      </top>
      <bottom style="thin">
        <color auto="1"/>
      </bottom>
      <diagonal/>
    </border>
    <border>
      <left style="thin">
        <color indexed="63"/>
      </left>
      <right style="medium">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medium">
        <color indexed="63"/>
      </right>
      <top style="thin">
        <color indexed="63"/>
      </top>
      <bottom/>
      <diagonal/>
    </border>
    <border>
      <left/>
      <right style="thin">
        <color indexed="63"/>
      </right>
      <top style="thin">
        <color indexed="63"/>
      </top>
      <bottom style="thin">
        <color indexed="63"/>
      </bottom>
      <diagonal/>
    </border>
    <border>
      <left style="thin">
        <color auto="1"/>
      </left>
      <right style="medium">
        <color auto="1"/>
      </right>
      <top style="thin">
        <color indexed="63"/>
      </top>
      <bottom/>
      <diagonal/>
    </border>
    <border>
      <left style="medium">
        <color auto="1"/>
      </left>
      <right style="thin">
        <color auto="1"/>
      </right>
      <top style="thin">
        <color indexed="63"/>
      </top>
      <bottom/>
      <diagonal/>
    </border>
    <border>
      <left/>
      <right style="medium">
        <color auto="1"/>
      </right>
      <top style="thin">
        <color indexed="63"/>
      </top>
      <bottom/>
      <diagonal/>
    </border>
    <border>
      <left style="medium">
        <color auto="1"/>
      </left>
      <right style="medium">
        <color auto="1"/>
      </right>
      <top style="thin">
        <color indexed="63"/>
      </top>
      <bottom/>
      <diagonal/>
    </border>
    <border>
      <left/>
      <right style="medium">
        <color indexed="63"/>
      </right>
      <top style="medium">
        <color auto="1"/>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3"/>
      </left>
      <right/>
      <top/>
      <bottom style="thin">
        <color indexed="63"/>
      </bottom>
      <diagonal/>
    </border>
    <border>
      <left/>
      <right style="thin">
        <color indexed="63"/>
      </right>
      <top/>
      <bottom style="thin">
        <color indexed="63"/>
      </bottom>
      <diagonal/>
    </border>
    <border>
      <left style="medium">
        <color indexed="64"/>
      </left>
      <right/>
      <top style="medium">
        <color indexed="63"/>
      </top>
      <bottom style="thin">
        <color indexed="63"/>
      </bottom>
      <diagonal/>
    </border>
    <border>
      <left/>
      <right/>
      <top style="medium">
        <color indexed="63"/>
      </top>
      <bottom style="thin">
        <color indexed="63"/>
      </bottom>
      <diagonal/>
    </border>
    <border>
      <left style="medium">
        <color indexed="64"/>
      </left>
      <right style="thin">
        <color indexed="63"/>
      </right>
      <top style="thin">
        <color indexed="64"/>
      </top>
      <bottom/>
      <diagonal/>
    </border>
    <border>
      <left style="thin">
        <color indexed="63"/>
      </left>
      <right/>
      <top style="thin">
        <color indexed="64"/>
      </top>
      <bottom/>
      <diagonal/>
    </border>
    <border>
      <left style="medium">
        <color indexed="63"/>
      </left>
      <right style="medium">
        <color indexed="63"/>
      </right>
      <top style="thin">
        <color indexed="64"/>
      </top>
      <bottom/>
      <diagonal/>
    </border>
    <border>
      <left/>
      <right style="medium">
        <color indexed="63"/>
      </right>
      <top style="thin">
        <color indexed="64"/>
      </top>
      <bottom/>
      <diagonal/>
    </border>
    <border>
      <left style="thin">
        <color indexed="63"/>
      </left>
      <right/>
      <top style="thin">
        <color indexed="63"/>
      </top>
      <bottom style="thin">
        <color indexed="63"/>
      </bottom>
      <diagonal/>
    </border>
    <border>
      <left style="medium">
        <color indexed="63"/>
      </left>
      <right style="medium">
        <color indexed="63"/>
      </right>
      <top style="thin">
        <color indexed="63"/>
      </top>
      <bottom style="thin">
        <color indexed="63"/>
      </bottom>
      <diagonal/>
    </border>
    <border>
      <left style="medium">
        <color indexed="63"/>
      </left>
      <right style="medium">
        <color indexed="63"/>
      </right>
      <top/>
      <bottom style="thin">
        <color indexed="63"/>
      </bottom>
      <diagonal/>
    </border>
    <border>
      <left style="thin">
        <color indexed="63"/>
      </left>
      <right/>
      <top style="thin">
        <color indexed="63"/>
      </top>
      <bottom style="thin">
        <color indexed="64"/>
      </bottom>
      <diagonal/>
    </border>
    <border>
      <left style="medium">
        <color indexed="63"/>
      </left>
      <right style="medium">
        <color indexed="63"/>
      </right>
      <top style="thin">
        <color indexed="63"/>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3"/>
      </right>
      <top/>
      <bottom/>
      <diagonal/>
    </border>
    <border>
      <left style="medium">
        <color indexed="64"/>
      </left>
      <right style="thin">
        <color indexed="63"/>
      </right>
      <top/>
      <bottom/>
      <diagonal/>
    </border>
    <border>
      <left style="thin">
        <color indexed="63"/>
      </left>
      <right/>
      <top style="thin">
        <color indexed="63"/>
      </top>
      <bottom/>
      <diagonal/>
    </border>
    <border>
      <left style="medium">
        <color indexed="63"/>
      </left>
      <right style="medium">
        <color indexed="63"/>
      </right>
      <top style="thin">
        <color indexed="63"/>
      </top>
      <bottom/>
      <diagonal/>
    </border>
    <border>
      <left/>
      <right style="medium">
        <color indexed="64"/>
      </right>
      <top style="medium">
        <color indexed="64"/>
      </top>
      <bottom style="medium">
        <color indexed="64"/>
      </bottom>
      <diagonal/>
    </border>
    <border>
      <left style="medium">
        <color indexed="64"/>
      </left>
      <right style="thin">
        <color indexed="63"/>
      </right>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3"/>
      </top>
      <bottom style="thin">
        <color indexed="63"/>
      </bottom>
      <diagonal/>
    </border>
    <border>
      <left/>
      <right/>
      <top style="medium">
        <color indexed="63"/>
      </top>
      <bottom style="thin">
        <color indexed="63"/>
      </bottom>
      <diagonal/>
    </border>
    <border>
      <left style="thin">
        <color indexed="63"/>
      </left>
      <right/>
      <top style="thin">
        <color indexed="64"/>
      </top>
      <bottom style="thin">
        <color indexed="63"/>
      </bottom>
      <diagonal/>
    </border>
    <border>
      <left style="medium">
        <color indexed="63"/>
      </left>
      <right style="medium">
        <color indexed="63"/>
      </right>
      <top style="thin">
        <color indexed="64"/>
      </top>
      <bottom style="thin">
        <color indexed="63"/>
      </bottom>
      <diagonal/>
    </border>
    <border>
      <left style="medium">
        <color indexed="64"/>
      </left>
      <right style="thin">
        <color indexed="63"/>
      </right>
      <top/>
      <bottom style="thin">
        <color indexed="64"/>
      </bottom>
      <diagonal/>
    </border>
    <border>
      <left style="thin">
        <color indexed="63"/>
      </left>
      <right/>
      <top/>
      <bottom style="thin">
        <color indexed="64"/>
      </bottom>
      <diagonal/>
    </border>
    <border>
      <left style="medium">
        <color indexed="63"/>
      </left>
      <right style="medium">
        <color indexed="63"/>
      </right>
      <top/>
      <bottom style="thin">
        <color indexed="64"/>
      </bottom>
      <diagonal/>
    </border>
    <border>
      <left style="thin">
        <color indexed="63"/>
      </left>
      <right style="thin">
        <color indexed="63"/>
      </right>
      <top/>
      <bottom style="thin">
        <color indexed="64"/>
      </bottom>
      <diagonal/>
    </border>
    <border>
      <left style="thin">
        <color indexed="63"/>
      </left>
      <right style="medium">
        <color indexed="63"/>
      </right>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medium">
        <color indexed="63"/>
      </top>
      <bottom style="thin">
        <color indexed="64"/>
      </bottom>
      <diagonal/>
    </border>
    <border>
      <left style="medium">
        <color indexed="64"/>
      </left>
      <right/>
      <top style="medium">
        <color indexed="63"/>
      </top>
      <bottom style="medium">
        <color indexed="64"/>
      </bottom>
      <diagonal/>
    </border>
    <border>
      <left/>
      <right/>
      <top style="medium">
        <color indexed="63"/>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3"/>
      </right>
      <top/>
      <bottom/>
      <diagonal/>
    </border>
    <border>
      <left style="medium">
        <color indexed="64"/>
      </left>
      <right/>
      <top/>
      <bottom style="thin">
        <color indexed="64"/>
      </bottom>
      <diagonal/>
    </border>
    <border>
      <left/>
      <right/>
      <top/>
      <bottom style="thin">
        <color indexed="64"/>
      </bottom>
      <diagonal/>
    </border>
    <border>
      <left style="thin">
        <color indexed="63"/>
      </left>
      <right/>
      <top/>
      <bottom style="thin">
        <color indexed="64"/>
      </bottom>
      <diagonal/>
    </border>
    <border>
      <left/>
      <right style="thin">
        <color indexed="63"/>
      </right>
      <top/>
      <bottom style="thin">
        <color indexed="64"/>
      </bottom>
      <diagonal/>
    </border>
  </borders>
  <cellStyleXfs count="17">
    <xf numFmtId="4" fontId="0" fillId="0" borderId="0"/>
    <xf numFmtId="165" fontId="3" fillId="0" borderId="0" applyFill="0" applyBorder="0" applyAlignment="0" applyProtection="0"/>
    <xf numFmtId="0" fontId="3" fillId="0" borderId="0"/>
    <xf numFmtId="0" fontId="3" fillId="0" borderId="0"/>
    <xf numFmtId="0" fontId="27" fillId="0" borderId="0"/>
    <xf numFmtId="168" fontId="3" fillId="0" borderId="0" applyFont="0" applyFill="0" applyBorder="0" applyAlignment="0" applyProtection="0"/>
    <xf numFmtId="4" fontId="3" fillId="0" borderId="0"/>
    <xf numFmtId="0" fontId="2" fillId="0" borderId="0"/>
    <xf numFmtId="165" fontId="3" fillId="0" borderId="0" applyFill="0" applyBorder="0" applyAlignment="0" applyProtection="0"/>
    <xf numFmtId="164" fontId="2" fillId="0" borderId="0" applyFont="0" applyFill="0" applyBorder="0" applyAlignment="0" applyProtection="0"/>
    <xf numFmtId="174" fontId="3" fillId="0" borderId="0" applyFill="0" applyBorder="0" applyAlignment="0" applyProtection="0"/>
    <xf numFmtId="4" fontId="3" fillId="0" borderId="0"/>
    <xf numFmtId="4" fontId="3" fillId="0" borderId="0"/>
    <xf numFmtId="9" fontId="3" fillId="0" borderId="0" applyFill="0" applyBorder="0" applyAlignment="0" applyProtection="0"/>
    <xf numFmtId="0" fontId="1" fillId="0" borderId="0"/>
    <xf numFmtId="164" fontId="3" fillId="0" borderId="0" applyFont="0" applyFill="0" applyBorder="0" applyAlignment="0" applyProtection="0"/>
    <xf numFmtId="0" fontId="1" fillId="0" borderId="0"/>
  </cellStyleXfs>
  <cellXfs count="2795">
    <xf numFmtId="4" fontId="0" fillId="0" borderId="0" xfId="0"/>
    <xf numFmtId="4" fontId="0" fillId="0" borderId="1" xfId="0" applyBorder="1"/>
    <xf numFmtId="4" fontId="0" fillId="0" borderId="2" xfId="0" applyBorder="1"/>
    <xf numFmtId="4" fontId="0" fillId="0" borderId="3" xfId="0" applyBorder="1"/>
    <xf numFmtId="4" fontId="0" fillId="0" borderId="4" xfId="0" applyBorder="1"/>
    <xf numFmtId="4" fontId="0" fillId="0" borderId="0" xfId="0" applyBorder="1"/>
    <xf numFmtId="4" fontId="0" fillId="0" borderId="5" xfId="0" applyBorder="1"/>
    <xf numFmtId="4" fontId="0" fillId="0" borderId="6" xfId="0" applyBorder="1"/>
    <xf numFmtId="4" fontId="0" fillId="0" borderId="7" xfId="0" applyBorder="1" applyAlignment="1"/>
    <xf numFmtId="4" fontId="0" fillId="0" borderId="0" xfId="0" applyBorder="1" applyAlignment="1"/>
    <xf numFmtId="4" fontId="4" fillId="0" borderId="5" xfId="0" applyFont="1" applyBorder="1"/>
    <xf numFmtId="4" fontId="0" fillId="0" borderId="0" xfId="0" applyBorder="1" applyAlignment="1">
      <alignment wrapText="1"/>
    </xf>
    <xf numFmtId="4" fontId="7" fillId="0" borderId="5" xfId="0" applyFont="1" applyBorder="1" applyAlignment="1"/>
    <xf numFmtId="4" fontId="8" fillId="0" borderId="6" xfId="0" applyFont="1" applyBorder="1" applyAlignment="1"/>
    <xf numFmtId="4" fontId="9" fillId="0" borderId="6" xfId="0" applyFont="1" applyBorder="1" applyAlignment="1"/>
    <xf numFmtId="3" fontId="8" fillId="0" borderId="6" xfId="0" applyNumberFormat="1" applyFont="1" applyBorder="1" applyAlignment="1">
      <alignment wrapText="1"/>
    </xf>
    <xf numFmtId="3" fontId="8" fillId="0" borderId="6" xfId="0" applyNumberFormat="1" applyFont="1" applyBorder="1" applyAlignment="1"/>
    <xf numFmtId="4" fontId="0" fillId="0" borderId="8" xfId="0" applyBorder="1" applyAlignment="1"/>
    <xf numFmtId="4" fontId="0" fillId="0" borderId="8" xfId="0" applyBorder="1" applyAlignment="1">
      <alignment wrapText="1"/>
    </xf>
    <xf numFmtId="4" fontId="0" fillId="0" borderId="0" xfId="0" applyBorder="1" applyAlignment="1">
      <alignment horizontal="left" wrapText="1"/>
    </xf>
    <xf numFmtId="4" fontId="0" fillId="0" borderId="0" xfId="0" applyFont="1" applyBorder="1" applyAlignment="1">
      <alignment wrapText="1"/>
    </xf>
    <xf numFmtId="4" fontId="0" fillId="0" borderId="8" xfId="0" applyFont="1" applyBorder="1" applyAlignment="1">
      <alignment wrapText="1"/>
    </xf>
    <xf numFmtId="3" fontId="12" fillId="0" borderId="5" xfId="0" applyNumberFormat="1" applyFont="1" applyBorder="1" applyAlignment="1">
      <alignment horizontal="center"/>
    </xf>
    <xf numFmtId="4" fontId="12" fillId="0" borderId="6" xfId="0" applyFont="1" applyFill="1" applyBorder="1"/>
    <xf numFmtId="4" fontId="13" fillId="0" borderId="0" xfId="0" applyFont="1" applyFill="1" applyBorder="1"/>
    <xf numFmtId="4" fontId="6" fillId="0" borderId="0" xfId="0" applyFont="1" applyFill="1" applyBorder="1"/>
    <xf numFmtId="4" fontId="11" fillId="0" borderId="0" xfId="0" applyFont="1" applyFill="1" applyBorder="1" applyAlignment="1">
      <alignment horizontal="left"/>
    </xf>
    <xf numFmtId="4" fontId="11" fillId="0" borderId="8" xfId="0" applyFont="1" applyFill="1" applyBorder="1" applyAlignment="1">
      <alignment horizontal="left"/>
    </xf>
    <xf numFmtId="4" fontId="12" fillId="0" borderId="9" xfId="0" applyFont="1" applyFill="1" applyBorder="1"/>
    <xf numFmtId="4" fontId="13" fillId="0" borderId="10" xfId="0" applyFont="1" applyFill="1" applyBorder="1"/>
    <xf numFmtId="4" fontId="6" fillId="0" borderId="10" xfId="0" applyFont="1" applyFill="1" applyBorder="1"/>
    <xf numFmtId="4" fontId="11" fillId="0" borderId="10" xfId="0" applyFont="1" applyFill="1" applyBorder="1" applyAlignment="1">
      <alignment horizontal="left"/>
    </xf>
    <xf numFmtId="4" fontId="11" fillId="0" borderId="7" xfId="0" applyFont="1" applyFill="1" applyBorder="1" applyAlignment="1">
      <alignment horizontal="left"/>
    </xf>
    <xf numFmtId="4" fontId="13" fillId="0" borderId="2" xfId="0" applyFont="1" applyFill="1" applyBorder="1" applyAlignment="1"/>
    <xf numFmtId="4" fontId="15" fillId="0" borderId="3" xfId="0" applyFont="1" applyBorder="1" applyAlignment="1"/>
    <xf numFmtId="4" fontId="6" fillId="0" borderId="4" xfId="0" applyFont="1" applyFill="1" applyBorder="1"/>
    <xf numFmtId="4" fontId="13" fillId="0" borderId="2" xfId="0" applyFont="1" applyFill="1" applyBorder="1" applyAlignment="1">
      <alignment horizontal="left"/>
    </xf>
    <xf numFmtId="4" fontId="13" fillId="0" borderId="3" xfId="0" applyFont="1" applyFill="1" applyBorder="1" applyAlignment="1">
      <alignment horizontal="left"/>
    </xf>
    <xf numFmtId="4" fontId="13" fillId="0" borderId="6" xfId="0" applyFont="1" applyFill="1" applyBorder="1"/>
    <xf numFmtId="4" fontId="13" fillId="0" borderId="12" xfId="0" applyFont="1" applyFill="1" applyBorder="1"/>
    <xf numFmtId="4" fontId="6" fillId="0" borderId="13" xfId="0" applyFont="1" applyFill="1" applyBorder="1"/>
    <xf numFmtId="4" fontId="13" fillId="0" borderId="6" xfId="0" applyFont="1" applyFill="1" applyBorder="1" applyAlignment="1">
      <alignment horizontal="left"/>
    </xf>
    <xf numFmtId="4" fontId="13" fillId="0" borderId="0" xfId="0" applyFont="1" applyFill="1" applyBorder="1" applyAlignment="1">
      <alignment horizontal="left"/>
    </xf>
    <xf numFmtId="4" fontId="13" fillId="0" borderId="14" xfId="0" applyFont="1" applyFill="1" applyBorder="1"/>
    <xf numFmtId="4" fontId="6" fillId="0" borderId="15" xfId="0" applyFont="1" applyFill="1" applyBorder="1"/>
    <xf numFmtId="4" fontId="13" fillId="0" borderId="8" xfId="0" applyFont="1" applyFill="1" applyBorder="1" applyAlignment="1">
      <alignment horizontal="left"/>
    </xf>
    <xf numFmtId="4" fontId="13" fillId="0" borderId="16" xfId="0" applyFont="1" applyFill="1" applyBorder="1"/>
    <xf numFmtId="4" fontId="6" fillId="0" borderId="17" xfId="0" applyFont="1" applyFill="1" applyBorder="1"/>
    <xf numFmtId="4" fontId="13" fillId="0" borderId="9" xfId="0" applyFont="1" applyFill="1" applyBorder="1" applyAlignment="1">
      <alignment horizontal="left"/>
    </xf>
    <xf numFmtId="4" fontId="13" fillId="0" borderId="10" xfId="0" applyFont="1" applyFill="1" applyBorder="1" applyAlignment="1"/>
    <xf numFmtId="4" fontId="0" fillId="0" borderId="10" xfId="0" applyBorder="1" applyAlignment="1"/>
    <xf numFmtId="4" fontId="13" fillId="0" borderId="3" xfId="0" applyFont="1" applyFill="1" applyBorder="1" applyAlignment="1"/>
    <xf numFmtId="4" fontId="0" fillId="0" borderId="3" xfId="0" applyBorder="1" applyAlignment="1"/>
    <xf numFmtId="4" fontId="13" fillId="0" borderId="0" xfId="0" applyFont="1" applyFill="1" applyBorder="1" applyAlignment="1"/>
    <xf numFmtId="4" fontId="6" fillId="0" borderId="0" xfId="0" applyFont="1" applyFill="1" applyBorder="1" applyAlignment="1"/>
    <xf numFmtId="4" fontId="16" fillId="0" borderId="0" xfId="0" applyFont="1" applyFill="1" applyBorder="1"/>
    <xf numFmtId="4" fontId="13" fillId="0" borderId="5" xfId="0" applyFont="1" applyBorder="1" applyProtection="1">
      <protection locked="0"/>
    </xf>
    <xf numFmtId="4" fontId="13" fillId="0" borderId="5" xfId="0" applyFont="1" applyBorder="1"/>
    <xf numFmtId="3" fontId="12" fillId="0" borderId="5" xfId="0" applyNumberFormat="1" applyFont="1" applyBorder="1"/>
    <xf numFmtId="4" fontId="12" fillId="3" borderId="0" xfId="0" applyFont="1" applyFill="1" applyBorder="1" applyAlignment="1"/>
    <xf numFmtId="4" fontId="13" fillId="0" borderId="5" xfId="0" applyFont="1" applyBorder="1" applyAlignment="1">
      <alignment horizontal="center"/>
    </xf>
    <xf numFmtId="4" fontId="12" fillId="2" borderId="18" xfId="0" applyFont="1" applyFill="1" applyBorder="1" applyAlignment="1">
      <alignment wrapText="1"/>
    </xf>
    <xf numFmtId="4" fontId="12" fillId="2" borderId="0" xfId="0" applyFont="1" applyFill="1" applyBorder="1" applyAlignment="1">
      <alignment wrapText="1"/>
    </xf>
    <xf numFmtId="4" fontId="14" fillId="0" borderId="20" xfId="0" applyFont="1" applyBorder="1" applyAlignment="1">
      <alignment wrapText="1"/>
    </xf>
    <xf numFmtId="4" fontId="13" fillId="0" borderId="18" xfId="0" applyFont="1" applyBorder="1"/>
    <xf numFmtId="4" fontId="12" fillId="0" borderId="5" xfId="0" applyFont="1" applyBorder="1" applyAlignment="1">
      <alignment wrapText="1"/>
    </xf>
    <xf numFmtId="4" fontId="14" fillId="0" borderId="24" xfId="0" applyFont="1" applyBorder="1" applyAlignment="1">
      <alignment wrapText="1"/>
    </xf>
    <xf numFmtId="4" fontId="12" fillId="0" borderId="5" xfId="0" applyFont="1" applyBorder="1" applyAlignment="1">
      <alignment horizontal="center"/>
    </xf>
    <xf numFmtId="4" fontId="12" fillId="0" borderId="20" xfId="0" applyFont="1" applyBorder="1"/>
    <xf numFmtId="166" fontId="12" fillId="0" borderId="5" xfId="0" applyNumberFormat="1" applyFont="1" applyBorder="1"/>
    <xf numFmtId="166" fontId="12" fillId="0" borderId="5" xfId="0" applyNumberFormat="1" applyFont="1" applyBorder="1" applyAlignment="1">
      <alignment horizontal="center"/>
    </xf>
    <xf numFmtId="4" fontId="13" fillId="0" borderId="26" xfId="0" applyFont="1" applyBorder="1"/>
    <xf numFmtId="165" fontId="13" fillId="0" borderId="5" xfId="1" applyFont="1" applyBorder="1" applyAlignment="1">
      <alignment horizontal="center"/>
    </xf>
    <xf numFmtId="4" fontId="15" fillId="0" borderId="18" xfId="0" applyFont="1" applyBorder="1" applyAlignment="1">
      <alignment wrapText="1"/>
    </xf>
    <xf numFmtId="4" fontId="13" fillId="0" borderId="27" xfId="0" applyFont="1" applyBorder="1"/>
    <xf numFmtId="4" fontId="0" fillId="0" borderId="27" xfId="0" applyBorder="1"/>
    <xf numFmtId="166" fontId="12" fillId="0" borderId="27" xfId="0" applyNumberFormat="1" applyFont="1" applyBorder="1"/>
    <xf numFmtId="4" fontId="12" fillId="0" borderId="27" xfId="0" applyFont="1" applyBorder="1" applyAlignment="1">
      <alignment wrapText="1"/>
    </xf>
    <xf numFmtId="4" fontId="12" fillId="3" borderId="0" xfId="0" applyFont="1" applyFill="1" applyBorder="1"/>
    <xf numFmtId="4" fontId="12" fillId="2" borderId="0" xfId="0" applyFont="1" applyFill="1" applyBorder="1"/>
    <xf numFmtId="4" fontId="13" fillId="0" borderId="27" xfId="0" applyFont="1" applyFill="1" applyBorder="1"/>
    <xf numFmtId="4" fontId="19" fillId="0" borderId="0" xfId="0" applyFont="1"/>
    <xf numFmtId="4" fontId="19" fillId="0" borderId="0" xfId="0" applyFont="1" applyBorder="1"/>
    <xf numFmtId="4" fontId="15" fillId="0" borderId="0" xfId="0" applyFont="1" applyBorder="1"/>
    <xf numFmtId="4" fontId="6" fillId="0" borderId="0" xfId="0" applyFont="1" applyFill="1" applyBorder="1" applyAlignment="1">
      <alignment vertical="center" wrapText="1"/>
    </xf>
    <xf numFmtId="0" fontId="3" fillId="0" borderId="0" xfId="3"/>
    <xf numFmtId="0" fontId="3" fillId="0" borderId="0" xfId="3" applyFill="1"/>
    <xf numFmtId="0" fontId="3" fillId="0" borderId="0" xfId="3" applyAlignment="1">
      <alignment wrapText="1"/>
    </xf>
    <xf numFmtId="0" fontId="24" fillId="0" borderId="0" xfId="3" applyFont="1" applyAlignment="1">
      <alignment horizontal="left"/>
    </xf>
    <xf numFmtId="0" fontId="26" fillId="0" borderId="0" xfId="3" applyFont="1"/>
    <xf numFmtId="0" fontId="27" fillId="0" borderId="0" xfId="4"/>
    <xf numFmtId="0" fontId="28" fillId="0" borderId="0" xfId="3" applyFont="1" applyAlignment="1">
      <alignment horizontal="left"/>
    </xf>
    <xf numFmtId="0" fontId="28" fillId="0" borderId="2" xfId="3" applyFont="1" applyBorder="1" applyAlignment="1">
      <alignment horizontal="left"/>
    </xf>
    <xf numFmtId="0" fontId="26" fillId="0" borderId="3" xfId="3" applyFont="1" applyBorder="1"/>
    <xf numFmtId="0" fontId="28" fillId="4" borderId="1" xfId="3" applyFont="1" applyFill="1" applyBorder="1" applyAlignment="1">
      <alignment horizontal="center"/>
    </xf>
    <xf numFmtId="0" fontId="28" fillId="4" borderId="4" xfId="3" applyFont="1" applyFill="1" applyBorder="1" applyAlignment="1">
      <alignment horizontal="center"/>
    </xf>
    <xf numFmtId="0" fontId="28" fillId="0" borderId="6" xfId="3" applyFont="1" applyBorder="1" applyAlignment="1">
      <alignment horizontal="left"/>
    </xf>
    <xf numFmtId="0" fontId="26" fillId="0" borderId="0" xfId="3" applyFont="1" applyBorder="1"/>
    <xf numFmtId="0" fontId="29" fillId="4" borderId="28" xfId="3" applyFont="1" applyFill="1" applyBorder="1"/>
    <xf numFmtId="0" fontId="3" fillId="0" borderId="0" xfId="3" applyFont="1" applyFill="1"/>
    <xf numFmtId="0" fontId="26" fillId="0" borderId="6" xfId="3" applyFont="1" applyBorder="1"/>
    <xf numFmtId="0" fontId="26" fillId="0" borderId="6" xfId="3" applyFont="1" applyFill="1" applyBorder="1"/>
    <xf numFmtId="0" fontId="31" fillId="0" borderId="0" xfId="4" applyFont="1" applyBorder="1"/>
    <xf numFmtId="0" fontId="3" fillId="0" borderId="0" xfId="3" applyFont="1"/>
    <xf numFmtId="0" fontId="32" fillId="0" borderId="29" xfId="3" applyFont="1" applyBorder="1"/>
    <xf numFmtId="0" fontId="32" fillId="0" borderId="31" xfId="3" applyFont="1" applyBorder="1"/>
    <xf numFmtId="0" fontId="26" fillId="0" borderId="31" xfId="3" applyFont="1" applyBorder="1"/>
    <xf numFmtId="0" fontId="26" fillId="8" borderId="23" xfId="3" applyFont="1" applyFill="1" applyBorder="1"/>
    <xf numFmtId="0" fontId="26" fillId="8" borderId="32" xfId="3" applyFont="1" applyFill="1" applyBorder="1"/>
    <xf numFmtId="0" fontId="26" fillId="9" borderId="6" xfId="3" applyFont="1" applyFill="1" applyBorder="1"/>
    <xf numFmtId="0" fontId="26" fillId="9" borderId="0" xfId="3" applyFont="1" applyFill="1" applyBorder="1"/>
    <xf numFmtId="0" fontId="28" fillId="4" borderId="28" xfId="3" applyFont="1" applyFill="1" applyBorder="1"/>
    <xf numFmtId="0" fontId="26" fillId="0" borderId="0" xfId="3" applyFont="1" applyFill="1" applyBorder="1"/>
    <xf numFmtId="0" fontId="36" fillId="0" borderId="6" xfId="3" applyFont="1" applyFill="1" applyBorder="1"/>
    <xf numFmtId="0" fontId="26" fillId="7" borderId="33" xfId="3" applyFont="1" applyFill="1" applyBorder="1"/>
    <xf numFmtId="0" fontId="30" fillId="8" borderId="23" xfId="3" applyFont="1" applyFill="1" applyBorder="1"/>
    <xf numFmtId="0" fontId="30" fillId="8" borderId="32" xfId="3" applyFont="1" applyFill="1" applyBorder="1"/>
    <xf numFmtId="0" fontId="21" fillId="0" borderId="0" xfId="3" applyFont="1"/>
    <xf numFmtId="0" fontId="39" fillId="0" borderId="0" xfId="4" applyFont="1"/>
    <xf numFmtId="0" fontId="30" fillId="9" borderId="6" xfId="3" applyFont="1" applyFill="1" applyBorder="1"/>
    <xf numFmtId="0" fontId="30" fillId="9" borderId="0" xfId="3" applyFont="1" applyFill="1" applyBorder="1"/>
    <xf numFmtId="0" fontId="26" fillId="6" borderId="6" xfId="3" applyFont="1" applyFill="1" applyBorder="1" applyAlignment="1">
      <alignment wrapText="1"/>
    </xf>
    <xf numFmtId="0" fontId="26" fillId="6" borderId="0" xfId="3" applyFont="1" applyFill="1" applyBorder="1"/>
    <xf numFmtId="0" fontId="26" fillId="6" borderId="6" xfId="3" applyFont="1" applyFill="1" applyBorder="1"/>
    <xf numFmtId="0" fontId="36" fillId="6" borderId="23" xfId="3" applyFont="1" applyFill="1" applyBorder="1"/>
    <xf numFmtId="0" fontId="26" fillId="6" borderId="32" xfId="3" applyFont="1" applyFill="1" applyBorder="1"/>
    <xf numFmtId="0" fontId="26" fillId="6" borderId="34" xfId="3" applyFont="1" applyFill="1" applyBorder="1"/>
    <xf numFmtId="0" fontId="31" fillId="0" borderId="0" xfId="4" applyFont="1"/>
    <xf numFmtId="0" fontId="42" fillId="0" borderId="0" xfId="4" applyFont="1" applyBorder="1"/>
    <xf numFmtId="0" fontId="42" fillId="0" borderId="0" xfId="4" applyFont="1"/>
    <xf numFmtId="4" fontId="15" fillId="0" borderId="0" xfId="0" applyFont="1"/>
    <xf numFmtId="166" fontId="15" fillId="0" borderId="0" xfId="0" applyNumberFormat="1" applyFont="1"/>
    <xf numFmtId="4" fontId="13" fillId="0" borderId="35" xfId="0" applyFont="1" applyBorder="1"/>
    <xf numFmtId="4" fontId="14" fillId="0" borderId="6" xfId="0" applyFont="1" applyBorder="1" applyAlignment="1">
      <alignment wrapText="1"/>
    </xf>
    <xf numFmtId="4" fontId="13" fillId="0" borderId="40" xfId="0" applyFont="1" applyBorder="1" applyAlignment="1">
      <alignment wrapText="1"/>
    </xf>
    <xf numFmtId="4" fontId="13" fillId="0" borderId="35" xfId="0" applyFont="1" applyBorder="1" applyAlignment="1">
      <alignment wrapText="1"/>
    </xf>
    <xf numFmtId="4" fontId="12" fillId="3" borderId="6" xfId="0" applyFont="1" applyFill="1" applyBorder="1" applyAlignment="1"/>
    <xf numFmtId="4" fontId="13" fillId="0" borderId="41" xfId="0" applyFont="1" applyBorder="1"/>
    <xf numFmtId="4" fontId="12" fillId="0" borderId="20" xfId="0" applyFont="1" applyBorder="1" applyAlignment="1">
      <alignment wrapText="1"/>
    </xf>
    <xf numFmtId="4" fontId="12" fillId="0" borderId="42" xfId="0" applyFont="1" applyBorder="1" applyAlignment="1">
      <alignment wrapText="1"/>
    </xf>
    <xf numFmtId="4" fontId="13" fillId="0" borderId="43" xfId="0" applyFont="1" applyBorder="1"/>
    <xf numFmtId="4" fontId="14" fillId="0" borderId="44" xfId="0" applyFont="1" applyBorder="1" applyAlignment="1">
      <alignment wrapText="1"/>
    </xf>
    <xf numFmtId="4" fontId="13" fillId="0" borderId="20" xfId="0" applyFont="1" applyBorder="1"/>
    <xf numFmtId="4" fontId="12" fillId="0" borderId="45" xfId="0" applyFont="1" applyBorder="1" applyAlignment="1">
      <alignment wrapText="1"/>
    </xf>
    <xf numFmtId="4" fontId="13" fillId="0" borderId="46" xfId="0" applyFont="1" applyBorder="1"/>
    <xf numFmtId="4" fontId="12" fillId="3" borderId="40" xfId="0" applyFont="1" applyFill="1" applyBorder="1"/>
    <xf numFmtId="4" fontId="13" fillId="3" borderId="35" xfId="0" applyFont="1" applyFill="1" applyBorder="1"/>
    <xf numFmtId="4" fontId="12" fillId="0" borderId="47" xfId="0" applyFont="1" applyBorder="1" applyAlignment="1">
      <alignment wrapText="1"/>
    </xf>
    <xf numFmtId="4" fontId="12" fillId="0" borderId="48" xfId="0" applyFont="1" applyBorder="1" applyAlignment="1">
      <alignment wrapText="1"/>
    </xf>
    <xf numFmtId="4" fontId="12" fillId="0" borderId="49" xfId="0" applyFont="1" applyBorder="1"/>
    <xf numFmtId="4" fontId="12" fillId="0" borderId="46" xfId="0" applyFont="1" applyBorder="1"/>
    <xf numFmtId="165" fontId="13" fillId="0" borderId="50" xfId="1" applyFont="1" applyBorder="1" applyAlignment="1">
      <alignment horizontal="center"/>
    </xf>
    <xf numFmtId="4" fontId="14" fillId="0" borderId="20" xfId="0" applyFont="1" applyBorder="1"/>
    <xf numFmtId="165" fontId="12" fillId="0" borderId="47" xfId="1" applyFont="1" applyBorder="1" applyAlignment="1">
      <alignment horizontal="center"/>
    </xf>
    <xf numFmtId="4" fontId="13" fillId="0" borderId="40" xfId="0" applyFont="1" applyBorder="1"/>
    <xf numFmtId="4" fontId="12" fillId="3" borderId="35" xfId="0" applyFont="1" applyFill="1" applyBorder="1"/>
    <xf numFmtId="4" fontId="12" fillId="3" borderId="51" xfId="0" applyFont="1" applyFill="1" applyBorder="1"/>
    <xf numFmtId="4" fontId="12" fillId="3" borderId="52" xfId="0" applyFont="1" applyFill="1" applyBorder="1"/>
    <xf numFmtId="4" fontId="12" fillId="0" borderId="50" xfId="0" applyFont="1" applyBorder="1" applyAlignment="1">
      <alignment wrapText="1"/>
    </xf>
    <xf numFmtId="4" fontId="14" fillId="0" borderId="20" xfId="0" applyFont="1" applyBorder="1" applyAlignment="1">
      <alignment horizontal="center" wrapText="1"/>
    </xf>
    <xf numFmtId="4" fontId="12" fillId="0" borderId="53" xfId="0" applyFont="1" applyBorder="1" applyAlignment="1">
      <alignment wrapText="1"/>
    </xf>
    <xf numFmtId="4" fontId="12" fillId="3" borderId="6" xfId="0" applyFont="1" applyFill="1" applyBorder="1"/>
    <xf numFmtId="4" fontId="14" fillId="0" borderId="54" xfId="0" applyFont="1" applyBorder="1" applyAlignment="1">
      <alignment wrapText="1"/>
    </xf>
    <xf numFmtId="4" fontId="13" fillId="0" borderId="55" xfId="0" applyFont="1" applyBorder="1"/>
    <xf numFmtId="4" fontId="12" fillId="3" borderId="56" xfId="0" applyFont="1" applyFill="1" applyBorder="1"/>
    <xf numFmtId="4" fontId="12" fillId="3" borderId="57" xfId="0" applyFont="1" applyFill="1" applyBorder="1"/>
    <xf numFmtId="4" fontId="13" fillId="0" borderId="58" xfId="0" applyFont="1" applyFill="1" applyBorder="1"/>
    <xf numFmtId="4" fontId="0" fillId="0" borderId="59" xfId="0" applyBorder="1"/>
    <xf numFmtId="4" fontId="0" fillId="0" borderId="58" xfId="0" applyBorder="1"/>
    <xf numFmtId="4" fontId="13" fillId="0" borderId="60" xfId="0" applyFont="1" applyFill="1" applyBorder="1"/>
    <xf numFmtId="4" fontId="14" fillId="0" borderId="63" xfId="0" applyFont="1" applyBorder="1" applyAlignment="1">
      <alignment wrapText="1"/>
    </xf>
    <xf numFmtId="4" fontId="13" fillId="0" borderId="66" xfId="0" applyFont="1" applyBorder="1"/>
    <xf numFmtId="4" fontId="14" fillId="0" borderId="25" xfId="0" applyFont="1" applyBorder="1" applyAlignment="1">
      <alignment wrapText="1"/>
    </xf>
    <xf numFmtId="4" fontId="13" fillId="0" borderId="67" xfId="0" applyFont="1" applyBorder="1"/>
    <xf numFmtId="4" fontId="0" fillId="0" borderId="70" xfId="0" applyBorder="1"/>
    <xf numFmtId="165" fontId="3" fillId="0" borderId="0" xfId="1"/>
    <xf numFmtId="164" fontId="3" fillId="0" borderId="0" xfId="3" applyNumberFormat="1"/>
    <xf numFmtId="4" fontId="13" fillId="0" borderId="0" xfId="0" applyFont="1" applyFill="1" applyBorder="1" applyAlignment="1">
      <alignment vertical="center" wrapText="1"/>
    </xf>
    <xf numFmtId="167" fontId="44" fillId="0" borderId="0" xfId="1" applyNumberFormat="1" applyFont="1" applyFill="1" applyBorder="1" applyAlignment="1">
      <alignment horizontal="center"/>
    </xf>
    <xf numFmtId="4" fontId="20" fillId="0" borderId="0" xfId="0" applyFont="1" applyAlignment="1">
      <alignment horizontal="justify" vertical="center"/>
    </xf>
    <xf numFmtId="4" fontId="22" fillId="10" borderId="73" xfId="0" applyFont="1" applyFill="1" applyBorder="1" applyAlignment="1">
      <alignment horizontal="justify" vertical="center" wrapText="1"/>
    </xf>
    <xf numFmtId="4" fontId="20" fillId="11" borderId="74" xfId="0" applyFont="1" applyFill="1" applyBorder="1" applyAlignment="1">
      <alignment horizontal="justify" vertical="center" wrapText="1"/>
    </xf>
    <xf numFmtId="1" fontId="20" fillId="11" borderId="74" xfId="0" applyNumberFormat="1" applyFont="1" applyFill="1" applyBorder="1" applyAlignment="1">
      <alignment horizontal="center" vertical="center" wrapText="1"/>
    </xf>
    <xf numFmtId="4" fontId="20" fillId="11" borderId="74" xfId="0" applyFont="1" applyFill="1" applyBorder="1" applyAlignment="1">
      <alignment horizontal="center" vertical="center" wrapText="1"/>
    </xf>
    <xf numFmtId="4" fontId="22" fillId="10" borderId="74" xfId="0" applyFont="1" applyFill="1" applyBorder="1" applyAlignment="1">
      <alignment horizontal="justify" vertical="center" wrapText="1"/>
    </xf>
    <xf numFmtId="4" fontId="22" fillId="10" borderId="26" xfId="0" applyFont="1" applyFill="1" applyBorder="1" applyAlignment="1">
      <alignment horizontal="justify" vertical="center" wrapText="1"/>
    </xf>
    <xf numFmtId="4" fontId="20" fillId="11" borderId="75" xfId="0" applyFont="1" applyFill="1" applyBorder="1" applyAlignment="1">
      <alignment horizontal="justify" vertical="center" wrapText="1"/>
    </xf>
    <xf numFmtId="4" fontId="20" fillId="11" borderId="75" xfId="0" applyFont="1" applyFill="1" applyBorder="1" applyAlignment="1">
      <alignment horizontal="center" vertical="center" wrapText="1"/>
    </xf>
    <xf numFmtId="4" fontId="22" fillId="10" borderId="75" xfId="0" applyFont="1" applyFill="1" applyBorder="1" applyAlignment="1">
      <alignment horizontal="justify" vertical="center" wrapText="1"/>
    </xf>
    <xf numFmtId="3" fontId="22" fillId="10" borderId="26" xfId="0" applyNumberFormat="1" applyFont="1" applyFill="1" applyBorder="1" applyAlignment="1">
      <alignment horizontal="center" vertical="center" wrapText="1"/>
    </xf>
    <xf numFmtId="4" fontId="22" fillId="0" borderId="75" xfId="0" applyFont="1" applyBorder="1" applyAlignment="1">
      <alignment horizontal="justify" vertical="center" wrapText="1"/>
    </xf>
    <xf numFmtId="4" fontId="7" fillId="11" borderId="75" xfId="0" applyFont="1" applyFill="1" applyBorder="1" applyAlignment="1">
      <alignment horizontal="justify" vertical="center" wrapText="1"/>
    </xf>
    <xf numFmtId="4" fontId="22" fillId="11" borderId="75" xfId="0" applyFont="1" applyFill="1" applyBorder="1" applyAlignment="1">
      <alignment horizontal="justify" vertical="center" wrapText="1"/>
    </xf>
    <xf numFmtId="4" fontId="23" fillId="11" borderId="75" xfId="0" applyFont="1" applyFill="1" applyBorder="1" applyAlignment="1">
      <alignment horizontal="justify" vertical="center" wrapText="1"/>
    </xf>
    <xf numFmtId="4" fontId="20" fillId="12" borderId="75" xfId="0" applyFont="1" applyFill="1" applyBorder="1" applyAlignment="1">
      <alignment horizontal="justify" vertical="center"/>
    </xf>
    <xf numFmtId="4" fontId="20" fillId="12" borderId="75" xfId="0" applyFont="1" applyFill="1" applyBorder="1" applyAlignment="1">
      <alignment horizontal="justify" vertical="center" wrapText="1"/>
    </xf>
    <xf numFmtId="4" fontId="11" fillId="0" borderId="0" xfId="0" applyFont="1"/>
    <xf numFmtId="4" fontId="11" fillId="0" borderId="0" xfId="0" applyFont="1" applyAlignment="1">
      <alignment horizontal="center"/>
    </xf>
    <xf numFmtId="169" fontId="11" fillId="0" borderId="0" xfId="0" applyNumberFormat="1" applyFont="1" applyAlignment="1">
      <alignment horizontal="left"/>
    </xf>
    <xf numFmtId="4" fontId="45" fillId="0" borderId="0" xfId="0" applyFont="1" applyBorder="1"/>
    <xf numFmtId="4" fontId="12" fillId="0" borderId="6" xfId="0" applyFont="1" applyBorder="1" applyAlignment="1">
      <alignment wrapText="1"/>
    </xf>
    <xf numFmtId="4" fontId="0" fillId="0" borderId="0" xfId="0" applyBorder="1" applyAlignment="1">
      <alignment wrapText="1"/>
    </xf>
    <xf numFmtId="4" fontId="14" fillId="0" borderId="0" xfId="0" applyFont="1" applyBorder="1" applyAlignment="1">
      <alignment wrapText="1"/>
    </xf>
    <xf numFmtId="4" fontId="14" fillId="2" borderId="18" xfId="0" applyFont="1" applyFill="1" applyBorder="1" applyAlignment="1">
      <alignment wrapText="1"/>
    </xf>
    <xf numFmtId="4" fontId="14" fillId="0" borderId="76" xfId="0" applyFont="1" applyBorder="1" applyAlignment="1">
      <alignment wrapText="1"/>
    </xf>
    <xf numFmtId="4" fontId="12" fillId="0" borderId="76" xfId="0" applyFont="1" applyBorder="1" applyAlignment="1">
      <alignment wrapText="1"/>
    </xf>
    <xf numFmtId="4" fontId="14" fillId="0" borderId="76" xfId="0" applyFont="1" applyBorder="1" applyAlignment="1">
      <alignment horizontal="center" wrapText="1"/>
    </xf>
    <xf numFmtId="4" fontId="13" fillId="0" borderId="21" xfId="0" applyFont="1" applyBorder="1"/>
    <xf numFmtId="4" fontId="6" fillId="0" borderId="80" xfId="0" applyFont="1" applyBorder="1" applyAlignment="1">
      <alignment horizontal="center" wrapText="1"/>
    </xf>
    <xf numFmtId="4" fontId="12" fillId="0" borderId="19" xfId="0" applyFont="1" applyBorder="1" applyAlignment="1">
      <alignment wrapText="1"/>
    </xf>
    <xf numFmtId="4" fontId="14" fillId="0" borderId="19" xfId="0" applyFont="1" applyBorder="1"/>
    <xf numFmtId="4" fontId="13" fillId="2" borderId="85" xfId="0" applyFont="1" applyFill="1" applyBorder="1" applyAlignment="1">
      <alignment wrapText="1"/>
    </xf>
    <xf numFmtId="4" fontId="12" fillId="2" borderId="86" xfId="0" applyFont="1" applyFill="1" applyBorder="1" applyAlignment="1">
      <alignment wrapText="1"/>
    </xf>
    <xf numFmtId="4" fontId="12" fillId="2" borderId="87" xfId="0" applyFont="1" applyFill="1" applyBorder="1" applyAlignment="1">
      <alignment wrapText="1"/>
    </xf>
    <xf numFmtId="4" fontId="14" fillId="2" borderId="86" xfId="0" applyFont="1" applyFill="1" applyBorder="1" applyAlignment="1">
      <alignment wrapText="1"/>
    </xf>
    <xf numFmtId="4" fontId="12" fillId="2" borderId="87" xfId="0" applyFont="1" applyFill="1" applyBorder="1"/>
    <xf numFmtId="4" fontId="12" fillId="2" borderId="86" xfId="0" applyFont="1" applyFill="1" applyBorder="1"/>
    <xf numFmtId="4" fontId="12" fillId="2" borderId="18" xfId="0" applyFont="1" applyFill="1" applyBorder="1"/>
    <xf numFmtId="4" fontId="12" fillId="2" borderId="91" xfId="0" applyFont="1" applyFill="1" applyBorder="1"/>
    <xf numFmtId="4" fontId="0" fillId="2" borderId="86" xfId="0" applyFill="1" applyBorder="1"/>
    <xf numFmtId="4" fontId="0" fillId="2" borderId="18" xfId="0" applyFill="1" applyBorder="1"/>
    <xf numFmtId="4" fontId="0" fillId="2" borderId="87" xfId="0" applyFill="1" applyBorder="1"/>
    <xf numFmtId="4" fontId="6" fillId="0" borderId="70" xfId="0" applyFont="1" applyFill="1" applyBorder="1" applyAlignment="1">
      <alignment horizontal="center" wrapText="1"/>
    </xf>
    <xf numFmtId="4" fontId="6" fillId="0" borderId="0" xfId="0" applyFont="1" applyFill="1" applyBorder="1" applyAlignment="1">
      <alignment horizontal="center" wrapText="1"/>
    </xf>
    <xf numFmtId="4" fontId="13" fillId="0" borderId="93" xfId="0" applyFont="1" applyBorder="1"/>
    <xf numFmtId="4" fontId="14" fillId="0" borderId="19" xfId="0" applyFont="1" applyBorder="1" applyAlignment="1">
      <alignment wrapText="1"/>
    </xf>
    <xf numFmtId="4" fontId="13" fillId="0" borderId="92" xfId="0" applyFont="1" applyBorder="1"/>
    <xf numFmtId="3" fontId="12" fillId="0" borderId="94" xfId="0" applyNumberFormat="1" applyFont="1" applyBorder="1" applyAlignment="1">
      <alignment wrapText="1"/>
    </xf>
    <xf numFmtId="4" fontId="13" fillId="0" borderId="95" xfId="0" applyFont="1" applyBorder="1"/>
    <xf numFmtId="4" fontId="13" fillId="0" borderId="78" xfId="0" applyFont="1" applyBorder="1"/>
    <xf numFmtId="4" fontId="12" fillId="0" borderId="94" xfId="0" applyFont="1" applyBorder="1" applyAlignment="1">
      <alignment wrapText="1"/>
    </xf>
    <xf numFmtId="4" fontId="14" fillId="0" borderId="20" xfId="0" applyFont="1" applyBorder="1" applyAlignment="1">
      <alignment horizontal="left" wrapText="1"/>
    </xf>
    <xf numFmtId="4" fontId="20" fillId="0" borderId="0" xfId="6" applyFont="1" applyFill="1" applyBorder="1" applyAlignment="1">
      <alignment vertical="center" wrapText="1"/>
    </xf>
    <xf numFmtId="4" fontId="0" fillId="0" borderId="93" xfId="0" applyBorder="1"/>
    <xf numFmtId="4" fontId="4" fillId="0" borderId="93" xfId="0" applyFont="1" applyBorder="1"/>
    <xf numFmtId="4" fontId="7" fillId="0" borderId="93" xfId="0" applyFont="1" applyBorder="1" applyAlignment="1"/>
    <xf numFmtId="3" fontId="12" fillId="0" borderId="93" xfId="0" applyNumberFormat="1" applyFont="1" applyBorder="1" applyAlignment="1">
      <alignment horizontal="center"/>
    </xf>
    <xf numFmtId="4" fontId="12" fillId="0" borderId="119" xfId="0" applyFont="1" applyFill="1" applyBorder="1"/>
    <xf numFmtId="4" fontId="13" fillId="0" borderId="118" xfId="0" applyFont="1" applyFill="1" applyBorder="1"/>
    <xf numFmtId="4" fontId="6" fillId="0" borderId="118" xfId="0" applyFont="1" applyFill="1" applyBorder="1"/>
    <xf numFmtId="4" fontId="11" fillId="0" borderId="118" xfId="0" applyFont="1" applyFill="1" applyBorder="1" applyAlignment="1">
      <alignment horizontal="left"/>
    </xf>
    <xf numFmtId="3" fontId="12" fillId="0" borderId="6" xfId="0" applyNumberFormat="1" applyFont="1" applyBorder="1" applyAlignment="1">
      <alignment horizontal="center"/>
    </xf>
    <xf numFmtId="4" fontId="15" fillId="0" borderId="0" xfId="0" applyFont="1" applyBorder="1" applyAlignment="1"/>
    <xf numFmtId="1" fontId="13" fillId="0" borderId="0" xfId="0" applyNumberFormat="1" applyFont="1" applyFill="1" applyBorder="1" applyAlignment="1">
      <alignment horizontal="left"/>
    </xf>
    <xf numFmtId="4" fontId="13" fillId="0" borderId="120" xfId="0" applyFont="1" applyFill="1" applyBorder="1"/>
    <xf numFmtId="4" fontId="6" fillId="0" borderId="121" xfId="0" applyFont="1" applyFill="1" applyBorder="1"/>
    <xf numFmtId="4" fontId="13" fillId="0" borderId="120" xfId="0" quotePrefix="1" applyFont="1" applyFill="1" applyBorder="1"/>
    <xf numFmtId="4" fontId="50" fillId="0" borderId="0" xfId="0" applyFont="1" applyFill="1" applyBorder="1" applyAlignment="1">
      <alignment horizontal="left"/>
    </xf>
    <xf numFmtId="4" fontId="13" fillId="0" borderId="122" xfId="0" applyFont="1" applyFill="1" applyBorder="1"/>
    <xf numFmtId="4" fontId="6" fillId="0" borderId="123" xfId="0" applyFont="1" applyFill="1" applyBorder="1"/>
    <xf numFmtId="4" fontId="13" fillId="0" borderId="119" xfId="0" applyFont="1" applyFill="1" applyBorder="1" applyAlignment="1">
      <alignment horizontal="left"/>
    </xf>
    <xf numFmtId="4" fontId="13" fillId="0" borderId="118" xfId="0" applyFont="1" applyFill="1" applyBorder="1" applyAlignment="1">
      <alignment horizontal="left"/>
    </xf>
    <xf numFmtId="4" fontId="6" fillId="0" borderId="0" xfId="0" applyFont="1" applyFill="1" applyBorder="1" applyAlignment="1">
      <alignment horizontal="left"/>
    </xf>
    <xf numFmtId="4" fontId="13" fillId="0" borderId="118" xfId="0" applyFont="1" applyFill="1" applyBorder="1" applyAlignment="1"/>
    <xf numFmtId="4" fontId="0" fillId="0" borderId="118" xfId="0" applyBorder="1" applyAlignment="1"/>
    <xf numFmtId="4" fontId="11" fillId="0" borderId="6" xfId="0" applyFont="1" applyFill="1" applyBorder="1" applyAlignment="1">
      <alignment horizontal="left"/>
    </xf>
    <xf numFmtId="4" fontId="11" fillId="0" borderId="36" xfId="0" applyFont="1" applyFill="1" applyBorder="1" applyAlignment="1">
      <alignment horizontal="left"/>
    </xf>
    <xf numFmtId="4" fontId="13" fillId="0" borderId="93" xfId="0" applyFont="1" applyBorder="1" applyProtection="1">
      <protection locked="0"/>
    </xf>
    <xf numFmtId="4" fontId="13" fillId="0" borderId="124" xfId="0" applyFont="1" applyBorder="1" applyAlignment="1">
      <alignment wrapText="1"/>
    </xf>
    <xf numFmtId="4" fontId="6" fillId="0" borderId="89" xfId="0" applyFont="1" applyBorder="1" applyAlignment="1">
      <alignment horizontal="center" wrapText="1"/>
    </xf>
    <xf numFmtId="4" fontId="6" fillId="0" borderId="125" xfId="0" applyFont="1" applyBorder="1" applyAlignment="1">
      <alignment horizontal="center" wrapText="1"/>
    </xf>
    <xf numFmtId="4" fontId="13" fillId="0" borderId="126" xfId="0" applyFont="1" applyBorder="1" applyAlignment="1">
      <alignment wrapText="1"/>
    </xf>
    <xf numFmtId="4" fontId="13" fillId="0" borderId="127" xfId="0" applyFont="1" applyBorder="1" applyAlignment="1">
      <alignment wrapText="1"/>
    </xf>
    <xf numFmtId="4" fontId="6" fillId="0" borderId="128" xfId="0" applyFont="1" applyBorder="1" applyAlignment="1">
      <alignment horizontal="center" wrapText="1"/>
    </xf>
    <xf numFmtId="4" fontId="13" fillId="2" borderId="129" xfId="0" applyFont="1" applyFill="1" applyBorder="1" applyAlignment="1">
      <alignment wrapText="1"/>
    </xf>
    <xf numFmtId="4" fontId="13" fillId="2" borderId="130" xfId="0" applyFont="1" applyFill="1" applyBorder="1" applyAlignment="1">
      <alignment wrapText="1"/>
    </xf>
    <xf numFmtId="4" fontId="13" fillId="2" borderId="131" xfId="0" applyFont="1" applyFill="1" applyBorder="1" applyAlignment="1">
      <alignment wrapText="1"/>
    </xf>
    <xf numFmtId="4" fontId="13" fillId="2" borderId="132" xfId="0" applyFont="1" applyFill="1" applyBorder="1" applyAlignment="1">
      <alignment wrapText="1"/>
    </xf>
    <xf numFmtId="3" fontId="12" fillId="0" borderId="93" xfId="0" applyNumberFormat="1" applyFont="1" applyBorder="1"/>
    <xf numFmtId="4" fontId="13" fillId="2" borderId="133" xfId="0" applyFont="1" applyFill="1" applyBorder="1" applyAlignment="1">
      <alignment wrapText="1"/>
    </xf>
    <xf numFmtId="4" fontId="13" fillId="2" borderId="134" xfId="0" applyFont="1" applyFill="1" applyBorder="1" applyAlignment="1">
      <alignment wrapText="1"/>
    </xf>
    <xf numFmtId="4" fontId="13" fillId="2" borderId="135" xfId="0" applyFont="1" applyFill="1" applyBorder="1" applyAlignment="1">
      <alignment wrapText="1"/>
    </xf>
    <xf numFmtId="4" fontId="13" fillId="2" borderId="136" xfId="0" applyFont="1" applyFill="1" applyBorder="1" applyAlignment="1">
      <alignment wrapText="1"/>
    </xf>
    <xf numFmtId="4" fontId="13" fillId="0" borderId="93" xfId="0" applyFont="1" applyBorder="1" applyAlignment="1">
      <alignment horizontal="center"/>
    </xf>
    <xf numFmtId="4" fontId="12" fillId="2" borderId="142" xfId="0" applyFont="1" applyFill="1" applyBorder="1" applyAlignment="1">
      <alignment wrapText="1"/>
    </xf>
    <xf numFmtId="4" fontId="13" fillId="0" borderId="67" xfId="0" applyFont="1" applyBorder="1" applyAlignment="1">
      <alignment wrapText="1"/>
    </xf>
    <xf numFmtId="4" fontId="13" fillId="0" borderId="143" xfId="0" applyFont="1" applyBorder="1" applyAlignment="1">
      <alignment wrapText="1"/>
    </xf>
    <xf numFmtId="4" fontId="13" fillId="0" borderId="107" xfId="0" applyFont="1" applyBorder="1"/>
    <xf numFmtId="4" fontId="14" fillId="0" borderId="110" xfId="0" applyFont="1" applyBorder="1" applyAlignment="1">
      <alignment wrapText="1"/>
    </xf>
    <xf numFmtId="4" fontId="14" fillId="2" borderId="132" xfId="0" applyFont="1" applyFill="1" applyBorder="1" applyAlignment="1">
      <alignment wrapText="1"/>
    </xf>
    <xf numFmtId="4" fontId="13" fillId="0" borderId="105" xfId="0" applyFont="1" applyBorder="1"/>
    <xf numFmtId="4" fontId="14" fillId="0" borderId="144" xfId="0" applyFont="1" applyBorder="1" applyAlignment="1">
      <alignment wrapText="1"/>
    </xf>
    <xf numFmtId="4" fontId="13" fillId="0" borderId="145" xfId="0" applyFont="1" applyBorder="1"/>
    <xf numFmtId="4" fontId="13" fillId="0" borderId="143" xfId="0" applyFont="1" applyBorder="1"/>
    <xf numFmtId="4" fontId="12" fillId="0" borderId="93" xfId="0" applyFont="1" applyBorder="1" applyAlignment="1">
      <alignment wrapText="1"/>
    </xf>
    <xf numFmtId="4" fontId="12" fillId="0" borderId="146" xfId="0" applyFont="1" applyBorder="1" applyAlignment="1">
      <alignment wrapText="1"/>
    </xf>
    <xf numFmtId="4" fontId="13" fillId="0" borderId="147" xfId="0" applyFont="1" applyBorder="1"/>
    <xf numFmtId="4" fontId="13" fillId="0" borderId="148" xfId="0" applyFont="1" applyBorder="1"/>
    <xf numFmtId="4" fontId="12" fillId="0" borderId="93" xfId="0" applyFont="1" applyBorder="1" applyAlignment="1">
      <alignment horizontal="center"/>
    </xf>
    <xf numFmtId="4" fontId="12" fillId="2" borderId="132" xfId="0" applyFont="1" applyFill="1" applyBorder="1" applyAlignment="1">
      <alignment wrapText="1"/>
    </xf>
    <xf numFmtId="4" fontId="12" fillId="0" borderId="107" xfId="0" applyFont="1" applyBorder="1"/>
    <xf numFmtId="4" fontId="12" fillId="0" borderId="127" xfId="0" applyFont="1" applyBorder="1"/>
    <xf numFmtId="4" fontId="12" fillId="0" borderId="151" xfId="0" applyFont="1" applyBorder="1"/>
    <xf numFmtId="4" fontId="12" fillId="0" borderId="127" xfId="0" quotePrefix="1" applyFont="1" applyBorder="1"/>
    <xf numFmtId="4" fontId="12" fillId="0" borderId="153" xfId="0" applyFont="1" applyBorder="1" applyAlignment="1">
      <alignment wrapText="1"/>
    </xf>
    <xf numFmtId="4" fontId="12" fillId="0" borderId="154" xfId="0" applyFont="1" applyBorder="1" applyAlignment="1">
      <alignment wrapText="1"/>
    </xf>
    <xf numFmtId="4" fontId="13" fillId="0" borderId="106" xfId="0" applyFont="1" applyBorder="1"/>
    <xf numFmtId="4" fontId="12" fillId="3" borderId="155" xfId="0" applyFont="1" applyFill="1" applyBorder="1"/>
    <xf numFmtId="4" fontId="13" fillId="3" borderId="127" xfId="0" applyFont="1" applyFill="1" applyBorder="1"/>
    <xf numFmtId="166" fontId="12" fillId="0" borderId="93" xfId="0" applyNumberFormat="1" applyFont="1" applyBorder="1"/>
    <xf numFmtId="4" fontId="12" fillId="0" borderId="110" xfId="0" applyFont="1" applyBorder="1" applyAlignment="1">
      <alignment wrapText="1"/>
    </xf>
    <xf numFmtId="4" fontId="13" fillId="0" borderId="127" xfId="0" applyFont="1" applyFill="1" applyBorder="1"/>
    <xf numFmtId="4" fontId="13" fillId="0" borderId="114" xfId="0" applyFont="1" applyFill="1" applyBorder="1"/>
    <xf numFmtId="4" fontId="12" fillId="0" borderId="160" xfId="0" applyFont="1" applyBorder="1" applyAlignment="1">
      <alignment wrapText="1"/>
    </xf>
    <xf numFmtId="4" fontId="12" fillId="0" borderId="161" xfId="0" applyFont="1" applyBorder="1" applyAlignment="1">
      <alignment wrapText="1"/>
    </xf>
    <xf numFmtId="166" fontId="12" fillId="0" borderId="93" xfId="0" applyNumberFormat="1" applyFont="1" applyBorder="1" applyAlignment="1">
      <alignment horizontal="center"/>
    </xf>
    <xf numFmtId="4" fontId="12" fillId="2" borderId="141" xfId="0" applyFont="1" applyFill="1" applyBorder="1" applyAlignment="1">
      <alignment wrapText="1"/>
    </xf>
    <xf numFmtId="4" fontId="14" fillId="0" borderId="30" xfId="0" applyFont="1" applyBorder="1" applyAlignment="1">
      <alignment wrapText="1"/>
    </xf>
    <xf numFmtId="4" fontId="14" fillId="0" borderId="164" xfId="0" applyFont="1" applyBorder="1"/>
    <xf numFmtId="4" fontId="14" fillId="0" borderId="107" xfId="0" applyFont="1" applyBorder="1"/>
    <xf numFmtId="4" fontId="14" fillId="0" borderId="18" xfId="0" applyFont="1" applyBorder="1"/>
    <xf numFmtId="3" fontId="12" fillId="0" borderId="166" xfId="0" applyNumberFormat="1" applyFont="1" applyBorder="1" applyAlignment="1">
      <alignment wrapText="1"/>
    </xf>
    <xf numFmtId="4" fontId="13" fillId="0" borderId="167" xfId="0" applyFont="1" applyBorder="1"/>
    <xf numFmtId="4" fontId="13" fillId="0" borderId="168" xfId="0" applyFont="1" applyBorder="1"/>
    <xf numFmtId="4" fontId="13" fillId="0" borderId="169" xfId="0" applyFont="1" applyBorder="1"/>
    <xf numFmtId="4" fontId="12" fillId="0" borderId="175" xfId="0" applyFont="1" applyBorder="1" applyAlignment="1">
      <alignment wrapText="1"/>
    </xf>
    <xf numFmtId="4" fontId="0" fillId="0" borderId="176" xfId="0" applyBorder="1" applyAlignment="1">
      <alignment wrapText="1"/>
    </xf>
    <xf numFmtId="4" fontId="0" fillId="0" borderId="177" xfId="0" applyBorder="1" applyAlignment="1">
      <alignment wrapText="1"/>
    </xf>
    <xf numFmtId="4" fontId="12" fillId="0" borderId="177" xfId="0" applyFont="1" applyBorder="1"/>
    <xf numFmtId="4" fontId="12" fillId="0" borderId="106" xfId="0" applyFont="1" applyBorder="1"/>
    <xf numFmtId="165" fontId="13" fillId="0" borderId="93" xfId="1" applyFont="1" applyBorder="1" applyAlignment="1">
      <alignment horizontal="center"/>
    </xf>
    <xf numFmtId="165" fontId="13" fillId="0" borderId="178" xfId="1" applyFont="1" applyBorder="1" applyAlignment="1">
      <alignment horizontal="center"/>
    </xf>
    <xf numFmtId="165" fontId="13" fillId="0" borderId="179" xfId="1" applyFont="1" applyBorder="1" applyAlignment="1">
      <alignment horizontal="center"/>
    </xf>
    <xf numFmtId="4" fontId="14" fillId="0" borderId="63" xfId="0" applyFont="1" applyBorder="1"/>
    <xf numFmtId="4" fontId="13" fillId="0" borderId="182" xfId="0" applyFont="1" applyBorder="1" applyAlignment="1">
      <alignment wrapText="1"/>
    </xf>
    <xf numFmtId="4" fontId="13" fillId="0" borderId="107" xfId="0" applyFont="1" applyBorder="1" applyAlignment="1">
      <alignment wrapText="1"/>
    </xf>
    <xf numFmtId="4" fontId="14" fillId="2" borderId="142" xfId="0" applyFont="1" applyFill="1" applyBorder="1" applyAlignment="1">
      <alignment wrapText="1"/>
    </xf>
    <xf numFmtId="4" fontId="14" fillId="0" borderId="183" xfId="0" applyFont="1" applyBorder="1" applyAlignment="1">
      <alignment wrapText="1"/>
    </xf>
    <xf numFmtId="165" fontId="12" fillId="0" borderId="160" xfId="1" applyFont="1" applyBorder="1" applyAlignment="1">
      <alignment horizontal="center"/>
    </xf>
    <xf numFmtId="165" fontId="13" fillId="0" borderId="161" xfId="1" applyFont="1" applyBorder="1" applyAlignment="1">
      <alignment horizontal="center"/>
    </xf>
    <xf numFmtId="4" fontId="12" fillId="0" borderId="106" xfId="0" applyFont="1" applyBorder="1" applyAlignment="1">
      <alignment wrapText="1"/>
    </xf>
    <xf numFmtId="4" fontId="13" fillId="0" borderId="184" xfId="0" applyFont="1" applyBorder="1"/>
    <xf numFmtId="4" fontId="13" fillId="0" borderId="182" xfId="0" applyFont="1" applyBorder="1"/>
    <xf numFmtId="4" fontId="12" fillId="3" borderId="184" xfId="0" applyFont="1" applyFill="1" applyBorder="1"/>
    <xf numFmtId="4" fontId="12" fillId="3" borderId="182" xfId="0" applyFont="1" applyFill="1" applyBorder="1"/>
    <xf numFmtId="1" fontId="14" fillId="0" borderId="0" xfId="0" applyNumberFormat="1" applyFont="1" applyBorder="1" applyAlignment="1">
      <alignment wrapText="1"/>
    </xf>
    <xf numFmtId="4" fontId="13" fillId="0" borderId="164" xfId="0" applyFont="1" applyBorder="1"/>
    <xf numFmtId="4" fontId="12" fillId="3" borderId="187" xfId="0" applyFont="1" applyFill="1" applyBorder="1"/>
    <xf numFmtId="4" fontId="12" fillId="3" borderId="188" xfId="0" applyFont="1" applyFill="1" applyBorder="1"/>
    <xf numFmtId="4" fontId="14" fillId="2" borderId="141" xfId="0" applyFont="1" applyFill="1" applyBorder="1" applyAlignment="1">
      <alignment wrapText="1"/>
    </xf>
    <xf numFmtId="4" fontId="13" fillId="0" borderId="182" xfId="0" applyFont="1" applyFill="1" applyBorder="1"/>
    <xf numFmtId="4" fontId="13" fillId="0" borderId="107" xfId="0" applyFont="1" applyFill="1" applyBorder="1"/>
    <xf numFmtId="4" fontId="13" fillId="0" borderId="191" xfId="0" applyFont="1" applyFill="1" applyBorder="1"/>
    <xf numFmtId="4" fontId="12" fillId="0" borderId="178" xfId="0" applyFont="1" applyBorder="1" applyAlignment="1">
      <alignment wrapText="1"/>
    </xf>
    <xf numFmtId="4" fontId="12" fillId="0" borderId="179" xfId="0" applyFont="1" applyBorder="1" applyAlignment="1">
      <alignment wrapText="1"/>
    </xf>
    <xf numFmtId="4" fontId="12" fillId="2" borderId="132" xfId="0" applyFont="1" applyFill="1" applyBorder="1" applyAlignment="1"/>
    <xf numFmtId="4" fontId="13" fillId="0" borderId="192" xfId="0" applyFont="1" applyBorder="1"/>
    <xf numFmtId="4" fontId="14" fillId="0" borderId="193" xfId="0" applyFont="1" applyBorder="1" applyAlignment="1">
      <alignment horizontal="left" wrapText="1"/>
    </xf>
    <xf numFmtId="4" fontId="13" fillId="0" borderId="194" xfId="0" applyFont="1" applyBorder="1"/>
    <xf numFmtId="49" fontId="13" fillId="0" borderId="107" xfId="3" applyNumberFormat="1" applyFont="1" applyBorder="1"/>
    <xf numFmtId="4" fontId="13" fillId="0" borderId="195" xfId="0" applyFont="1" applyBorder="1"/>
    <xf numFmtId="4" fontId="13" fillId="0" borderId="196" xfId="0" applyFont="1" applyBorder="1"/>
    <xf numFmtId="2" fontId="13" fillId="0" borderId="195" xfId="0" applyNumberFormat="1" applyFont="1" applyBorder="1"/>
    <xf numFmtId="4" fontId="12" fillId="2" borderId="159" xfId="0" applyFont="1" applyFill="1" applyBorder="1" applyAlignment="1">
      <alignment wrapText="1"/>
    </xf>
    <xf numFmtId="4" fontId="14" fillId="0" borderId="193" xfId="0" applyFont="1" applyBorder="1" applyAlignment="1">
      <alignment wrapText="1"/>
    </xf>
    <xf numFmtId="4" fontId="13" fillId="0" borderId="197" xfId="0" applyFont="1" applyBorder="1"/>
    <xf numFmtId="4" fontId="14" fillId="2" borderId="109" xfId="0" applyFont="1" applyFill="1" applyBorder="1" applyAlignment="1">
      <alignment wrapText="1"/>
    </xf>
    <xf numFmtId="0" fontId="14" fillId="0" borderId="110" xfId="2" applyFont="1" applyBorder="1" applyAlignment="1">
      <alignment wrapText="1"/>
    </xf>
    <xf numFmtId="4" fontId="14" fillId="0" borderId="198" xfId="0" applyFont="1" applyBorder="1" applyAlignment="1">
      <alignment wrapText="1"/>
    </xf>
    <xf numFmtId="4" fontId="13" fillId="0" borderId="199" xfId="0" applyFont="1" applyBorder="1"/>
    <xf numFmtId="4" fontId="13" fillId="13" borderId="195" xfId="0" applyFont="1" applyFill="1" applyBorder="1"/>
    <xf numFmtId="168" fontId="15" fillId="0" borderId="0" xfId="5" applyFont="1" applyBorder="1"/>
    <xf numFmtId="4" fontId="13" fillId="0" borderId="200" xfId="0" applyFont="1" applyFill="1" applyBorder="1"/>
    <xf numFmtId="4" fontId="13" fillId="0" borderId="200" xfId="0" applyFont="1" applyBorder="1"/>
    <xf numFmtId="4" fontId="13" fillId="0" borderId="103" xfId="0" applyFont="1" applyBorder="1"/>
    <xf numFmtId="0" fontId="17" fillId="0" borderId="104" xfId="2" applyFont="1" applyBorder="1" applyAlignment="1">
      <alignment wrapText="1"/>
    </xf>
    <xf numFmtId="4" fontId="18" fillId="2" borderId="165" xfId="0" applyFont="1" applyFill="1" applyBorder="1" applyAlignment="1">
      <alignment wrapText="1"/>
    </xf>
    <xf numFmtId="4" fontId="12" fillId="0" borderId="201" xfId="0" applyFont="1" applyBorder="1" applyAlignment="1">
      <alignment wrapText="1"/>
    </xf>
    <xf numFmtId="4" fontId="12" fillId="0" borderId="170" xfId="0" applyFont="1" applyBorder="1" applyAlignment="1">
      <alignment wrapText="1"/>
    </xf>
    <xf numFmtId="1" fontId="12" fillId="0" borderId="0" xfId="0" applyNumberFormat="1" applyFont="1" applyBorder="1" applyAlignment="1">
      <alignment wrapText="1"/>
    </xf>
    <xf numFmtId="4" fontId="13" fillId="0" borderId="152" xfId="0" applyFont="1" applyBorder="1"/>
    <xf numFmtId="4" fontId="14" fillId="0" borderId="110" xfId="0" applyFont="1" applyFill="1" applyBorder="1" applyAlignment="1">
      <alignment wrapText="1"/>
    </xf>
    <xf numFmtId="4" fontId="14" fillId="0" borderId="99" xfId="0" applyFont="1" applyBorder="1" applyAlignment="1">
      <alignment wrapText="1"/>
    </xf>
    <xf numFmtId="4" fontId="13" fillId="0" borderId="204" xfId="0" applyFont="1" applyBorder="1"/>
    <xf numFmtId="4" fontId="12" fillId="0" borderId="205" xfId="0" applyFont="1" applyBorder="1"/>
    <xf numFmtId="4" fontId="12" fillId="0" borderId="206" xfId="0" applyFont="1" applyBorder="1"/>
    <xf numFmtId="4" fontId="14" fillId="0" borderId="99" xfId="0" applyFont="1" applyFill="1" applyBorder="1" applyAlignment="1">
      <alignment wrapText="1"/>
    </xf>
    <xf numFmtId="4" fontId="0" fillId="0" borderId="152" xfId="0" applyBorder="1"/>
    <xf numFmtId="4" fontId="0" fillId="2" borderId="190" xfId="0" applyFill="1" applyBorder="1" applyAlignment="1">
      <alignment wrapText="1"/>
    </xf>
    <xf numFmtId="4" fontId="13" fillId="0" borderId="211" xfId="0" applyFont="1" applyBorder="1"/>
    <xf numFmtId="4" fontId="13" fillId="0" borderId="212" xfId="0" applyFont="1" applyBorder="1"/>
    <xf numFmtId="4" fontId="13" fillId="0" borderId="93" xfId="0" applyFont="1" applyFill="1" applyBorder="1"/>
    <xf numFmtId="4" fontId="12" fillId="3" borderId="213" xfId="0" applyFont="1" applyFill="1" applyBorder="1"/>
    <xf numFmtId="4" fontId="12" fillId="3" borderId="214" xfId="0" applyFont="1" applyFill="1" applyBorder="1"/>
    <xf numFmtId="4" fontId="13" fillId="0" borderId="215" xfId="0" applyFont="1" applyFill="1" applyBorder="1"/>
    <xf numFmtId="4" fontId="0" fillId="0" borderId="216" xfId="0" applyBorder="1"/>
    <xf numFmtId="4" fontId="14" fillId="0" borderId="217" xfId="0" applyFont="1" applyFill="1" applyBorder="1" applyAlignment="1">
      <alignment wrapText="1"/>
    </xf>
    <xf numFmtId="4" fontId="13" fillId="0" borderId="218" xfId="0" applyFont="1" applyFill="1" applyBorder="1"/>
    <xf numFmtId="4" fontId="11" fillId="0" borderId="219" xfId="0" applyFont="1" applyBorder="1"/>
    <xf numFmtId="4" fontId="0" fillId="0" borderId="36" xfId="0" applyBorder="1"/>
    <xf numFmtId="1" fontId="12" fillId="0" borderId="70" xfId="0" applyNumberFormat="1" applyFont="1" applyFill="1" applyBorder="1" applyAlignment="1">
      <alignment wrapText="1"/>
    </xf>
    <xf numFmtId="3" fontId="13" fillId="0" borderId="70" xfId="0" applyNumberFormat="1" applyFont="1" applyFill="1" applyBorder="1"/>
    <xf numFmtId="4" fontId="13" fillId="0" borderId="70" xfId="0" applyFont="1" applyFill="1" applyBorder="1"/>
    <xf numFmtId="3" fontId="13" fillId="0" borderId="70" xfId="0" applyNumberFormat="1" applyFont="1" applyFill="1" applyBorder="1" applyAlignment="1">
      <alignment horizontal="center"/>
    </xf>
    <xf numFmtId="3" fontId="13" fillId="0" borderId="0" xfId="0" applyNumberFormat="1" applyFont="1" applyBorder="1"/>
    <xf numFmtId="4" fontId="13" fillId="0" borderId="0" xfId="0" applyFont="1" applyBorder="1"/>
    <xf numFmtId="3" fontId="13" fillId="0" borderId="0" xfId="0" applyNumberFormat="1" applyFont="1" applyBorder="1" applyAlignment="1">
      <alignment horizontal="center"/>
    </xf>
    <xf numFmtId="172" fontId="4" fillId="0" borderId="0" xfId="1" applyNumberFormat="1" applyFont="1" applyFill="1" applyBorder="1" applyAlignment="1">
      <alignment horizontal="center"/>
    </xf>
    <xf numFmtId="165" fontId="15" fillId="0" borderId="0" xfId="1" applyFont="1" applyFill="1" applyBorder="1" applyAlignment="1" applyProtection="1"/>
    <xf numFmtId="169" fontId="0" fillId="0" borderId="0" xfId="0" applyNumberFormat="1" applyBorder="1"/>
    <xf numFmtId="167" fontId="4" fillId="0" borderId="0" xfId="1" applyNumberFormat="1" applyFont="1" applyFill="1" applyBorder="1" applyAlignment="1">
      <alignment horizontal="center"/>
    </xf>
    <xf numFmtId="4" fontId="15" fillId="0" borderId="6" xfId="0" applyFont="1" applyBorder="1"/>
    <xf numFmtId="4" fontId="6" fillId="0" borderId="220" xfId="0" applyFont="1" applyFill="1" applyBorder="1" applyAlignment="1">
      <alignment vertical="center" wrapText="1"/>
    </xf>
    <xf numFmtId="4" fontId="6" fillId="0" borderId="96" xfId="0" applyFont="1" applyBorder="1" applyAlignment="1">
      <alignment horizontal="center"/>
    </xf>
    <xf numFmtId="4" fontId="6" fillId="0" borderId="221" xfId="0" applyFont="1" applyBorder="1" applyAlignment="1">
      <alignment horizontal="center"/>
    </xf>
    <xf numFmtId="168" fontId="15" fillId="0" borderId="0" xfId="5" applyFont="1" applyFill="1" applyBorder="1" applyAlignment="1" applyProtection="1"/>
    <xf numFmtId="4" fontId="6" fillId="0" borderId="158" xfId="0" applyFont="1" applyBorder="1" applyAlignment="1">
      <alignment horizontal="center"/>
    </xf>
    <xf numFmtId="4" fontId="6" fillId="0" borderId="116" xfId="0" applyFont="1" applyBorder="1" applyAlignment="1">
      <alignment horizontal="center"/>
    </xf>
    <xf numFmtId="166" fontId="15" fillId="0" borderId="6" xfId="0" applyNumberFormat="1" applyFont="1" applyBorder="1"/>
    <xf numFmtId="9" fontId="13" fillId="0" borderId="223" xfId="0" applyNumberFormat="1" applyFont="1" applyBorder="1"/>
    <xf numFmtId="9" fontId="13" fillId="0" borderId="224" xfId="0" applyNumberFormat="1" applyFont="1" applyBorder="1"/>
    <xf numFmtId="4" fontId="15" fillId="0" borderId="119" xfId="0" applyFont="1" applyBorder="1"/>
    <xf numFmtId="4" fontId="15" fillId="0" borderId="118" xfId="0" applyFont="1" applyBorder="1"/>
    <xf numFmtId="4" fontId="0" fillId="0" borderId="118" xfId="0" applyBorder="1"/>
    <xf numFmtId="4" fontId="0" fillId="0" borderId="113" xfId="0" applyBorder="1"/>
    <xf numFmtId="173" fontId="0" fillId="0" borderId="0" xfId="0" applyNumberFormat="1" applyBorder="1"/>
    <xf numFmtId="4" fontId="12" fillId="0" borderId="0" xfId="0" applyFont="1" applyBorder="1"/>
    <xf numFmtId="4" fontId="12" fillId="0" borderId="0" xfId="0" applyFont="1" applyBorder="1" applyAlignment="1">
      <alignment wrapText="1"/>
    </xf>
    <xf numFmtId="1" fontId="14" fillId="0" borderId="0" xfId="0" applyNumberFormat="1" applyFont="1" applyFill="1" applyBorder="1" applyAlignment="1">
      <alignment wrapText="1"/>
    </xf>
    <xf numFmtId="3" fontId="13" fillId="0" borderId="0" xfId="0" applyNumberFormat="1" applyFont="1" applyFill="1" applyBorder="1"/>
    <xf numFmtId="3" fontId="13" fillId="0" borderId="0" xfId="0" applyNumberFormat="1" applyFont="1" applyFill="1" applyBorder="1" applyAlignment="1">
      <alignment horizontal="center"/>
    </xf>
    <xf numFmtId="4" fontId="0" fillId="0" borderId="0" xfId="0" applyFill="1" applyBorder="1" applyAlignment="1">
      <alignment wrapText="1"/>
    </xf>
    <xf numFmtId="165" fontId="12" fillId="2" borderId="0" xfId="1" applyFont="1" applyFill="1" applyBorder="1"/>
    <xf numFmtId="165" fontId="15" fillId="0" borderId="0" xfId="1" applyFont="1" applyBorder="1"/>
    <xf numFmtId="3" fontId="15" fillId="0" borderId="0" xfId="0" applyNumberFormat="1" applyFont="1" applyBorder="1"/>
    <xf numFmtId="3" fontId="15" fillId="0" borderId="0" xfId="0" applyNumberFormat="1" applyFont="1" applyBorder="1" applyAlignment="1">
      <alignment horizontal="center"/>
    </xf>
    <xf numFmtId="4" fontId="13" fillId="14" borderId="0" xfId="0" applyFont="1" applyFill="1" applyBorder="1"/>
    <xf numFmtId="4" fontId="12" fillId="14" borderId="0" xfId="0" applyFont="1" applyFill="1" applyBorder="1"/>
    <xf numFmtId="4" fontId="13" fillId="3" borderId="0" xfId="0" applyFont="1" applyFill="1" applyBorder="1"/>
    <xf numFmtId="4" fontId="0" fillId="0" borderId="0" xfId="0" applyBorder="1" applyAlignment="1">
      <alignment wrapText="1"/>
    </xf>
    <xf numFmtId="4" fontId="13" fillId="0" borderId="118" xfId="0" applyFont="1" applyFill="1" applyBorder="1" applyAlignment="1">
      <alignment horizontal="left"/>
    </xf>
    <xf numFmtId="4" fontId="13" fillId="2" borderId="225" xfId="0" applyFont="1" applyFill="1" applyBorder="1" applyAlignment="1">
      <alignment wrapText="1"/>
    </xf>
    <xf numFmtId="4" fontId="12" fillId="2" borderId="227" xfId="0" applyFont="1" applyFill="1" applyBorder="1" applyAlignment="1">
      <alignment wrapText="1"/>
    </xf>
    <xf numFmtId="4" fontId="14" fillId="2" borderId="227" xfId="0" applyFont="1" applyFill="1" applyBorder="1" applyAlignment="1">
      <alignment wrapText="1"/>
    </xf>
    <xf numFmtId="4" fontId="12" fillId="2" borderId="226" xfId="0" applyFont="1" applyFill="1" applyBorder="1" applyAlignment="1">
      <alignment wrapText="1"/>
    </xf>
    <xf numFmtId="4" fontId="0" fillId="2" borderId="207" xfId="0" applyFill="1" applyBorder="1" applyAlignment="1">
      <alignment wrapText="1"/>
    </xf>
    <xf numFmtId="9" fontId="13" fillId="0" borderId="228" xfId="0" applyNumberFormat="1" applyFont="1" applyBorder="1"/>
    <xf numFmtId="4" fontId="14" fillId="0" borderId="0" xfId="0" applyFont="1" applyBorder="1" applyAlignment="1">
      <alignment wrapText="1"/>
    </xf>
    <xf numFmtId="4" fontId="0" fillId="0" borderId="0" xfId="0" applyBorder="1" applyAlignment="1">
      <alignment wrapText="1"/>
    </xf>
    <xf numFmtId="4" fontId="0" fillId="0" borderId="113" xfId="0" applyBorder="1" applyAlignment="1">
      <alignment horizontal="left"/>
    </xf>
    <xf numFmtId="4" fontId="0" fillId="0" borderId="13" xfId="0" applyBorder="1" applyAlignment="1">
      <alignment horizontal="left"/>
    </xf>
    <xf numFmtId="4" fontId="13" fillId="0" borderId="10" xfId="0" applyFont="1" applyFill="1" applyBorder="1" applyAlignment="1">
      <alignment horizontal="left"/>
    </xf>
    <xf numFmtId="4" fontId="13" fillId="0" borderId="76" xfId="0" applyFont="1" applyBorder="1"/>
    <xf numFmtId="4" fontId="12" fillId="0" borderId="229" xfId="0" quotePrefix="1" applyFont="1" applyBorder="1"/>
    <xf numFmtId="4" fontId="13" fillId="0" borderId="230" xfId="0" applyFont="1" applyBorder="1"/>
    <xf numFmtId="4" fontId="13" fillId="0" borderId="231" xfId="0" applyFont="1" applyBorder="1"/>
    <xf numFmtId="4" fontId="13" fillId="0" borderId="231" xfId="0" applyFont="1" applyFill="1" applyBorder="1"/>
    <xf numFmtId="4" fontId="13" fillId="0" borderId="18" xfId="0" applyFont="1" applyFill="1" applyBorder="1"/>
    <xf numFmtId="4" fontId="14" fillId="2" borderId="236" xfId="0" applyFont="1" applyFill="1" applyBorder="1" applyAlignment="1">
      <alignment wrapText="1"/>
    </xf>
    <xf numFmtId="4" fontId="13" fillId="0" borderId="230" xfId="0" applyFont="1" applyFill="1" applyBorder="1"/>
    <xf numFmtId="4" fontId="13" fillId="0" borderId="18" xfId="0" applyFont="1" applyBorder="1" applyAlignment="1">
      <alignment wrapText="1"/>
    </xf>
    <xf numFmtId="4" fontId="14" fillId="0" borderId="238" xfId="0" applyFont="1" applyBorder="1" applyAlignment="1">
      <alignment wrapText="1"/>
    </xf>
    <xf numFmtId="165" fontId="14" fillId="2" borderId="238" xfId="8" applyFont="1" applyFill="1" applyBorder="1" applyAlignment="1">
      <alignment wrapText="1"/>
    </xf>
    <xf numFmtId="4" fontId="13" fillId="0" borderId="238" xfId="0" applyFont="1" applyBorder="1" applyAlignment="1">
      <alignment wrapText="1"/>
    </xf>
    <xf numFmtId="4" fontId="13" fillId="0" borderId="238" xfId="0" applyFont="1" applyFill="1" applyBorder="1"/>
    <xf numFmtId="4" fontId="14" fillId="0" borderId="240" xfId="0" applyFont="1" applyBorder="1" applyAlignment="1">
      <alignment wrapText="1"/>
    </xf>
    <xf numFmtId="4" fontId="14" fillId="2" borderId="239" xfId="0" applyFont="1" applyFill="1" applyBorder="1" applyAlignment="1">
      <alignment wrapText="1"/>
    </xf>
    <xf numFmtId="4" fontId="14" fillId="2" borderId="238" xfId="0" applyFont="1" applyFill="1" applyBorder="1" applyAlignment="1">
      <alignment wrapText="1"/>
    </xf>
    <xf numFmtId="4" fontId="14" fillId="2" borderId="243" xfId="0" applyFont="1" applyFill="1" applyBorder="1" applyAlignment="1">
      <alignment wrapText="1"/>
    </xf>
    <xf numFmtId="4" fontId="13" fillId="0" borderId="238" xfId="0" applyFont="1" applyBorder="1"/>
    <xf numFmtId="165" fontId="14" fillId="2" borderId="238" xfId="1" applyFont="1" applyFill="1" applyBorder="1" applyAlignment="1">
      <alignment wrapText="1"/>
    </xf>
    <xf numFmtId="4" fontId="12" fillId="2" borderId="238" xfId="0" applyFont="1" applyFill="1" applyBorder="1" applyAlignment="1">
      <alignment wrapText="1"/>
    </xf>
    <xf numFmtId="4" fontId="14" fillId="0" borderId="76" xfId="0" applyFont="1" applyBorder="1" applyAlignment="1">
      <alignment horizontal="left" wrapText="1"/>
    </xf>
    <xf numFmtId="4" fontId="14" fillId="2" borderId="32" xfId="0" applyFont="1" applyFill="1" applyBorder="1" applyAlignment="1">
      <alignment wrapText="1"/>
    </xf>
    <xf numFmtId="4" fontId="14" fillId="2" borderId="238" xfId="0" applyFont="1" applyFill="1" applyBorder="1" applyAlignment="1">
      <alignment horizontal="center" wrapText="1"/>
    </xf>
    <xf numFmtId="4" fontId="14" fillId="2" borderId="247" xfId="0" applyFont="1" applyFill="1" applyBorder="1" applyAlignment="1">
      <alignment wrapText="1"/>
    </xf>
    <xf numFmtId="4" fontId="14" fillId="2" borderId="251" xfId="0" applyFont="1" applyFill="1" applyBorder="1" applyAlignment="1">
      <alignment wrapText="1"/>
    </xf>
    <xf numFmtId="2" fontId="13" fillId="0" borderId="252" xfId="0" applyNumberFormat="1" applyFont="1" applyBorder="1"/>
    <xf numFmtId="165" fontId="14" fillId="2" borderId="252" xfId="8" applyFont="1" applyFill="1" applyBorder="1" applyAlignment="1">
      <alignment wrapText="1"/>
    </xf>
    <xf numFmtId="165" fontId="14" fillId="2" borderId="253" xfId="8" applyFont="1" applyFill="1" applyBorder="1" applyAlignment="1">
      <alignment wrapText="1"/>
    </xf>
    <xf numFmtId="4" fontId="14" fillId="0" borderId="77" xfId="0" applyFont="1" applyBorder="1" applyAlignment="1">
      <alignment wrapText="1"/>
    </xf>
    <xf numFmtId="4" fontId="14" fillId="0" borderId="254" xfId="0" applyFont="1" applyFill="1" applyBorder="1" applyAlignment="1">
      <alignment wrapText="1"/>
    </xf>
    <xf numFmtId="4" fontId="13" fillId="0" borderId="255" xfId="0" applyFont="1" applyBorder="1"/>
    <xf numFmtId="4" fontId="51" fillId="2" borderId="238" xfId="0" applyFont="1" applyFill="1" applyBorder="1" applyAlignment="1">
      <alignment wrapText="1"/>
    </xf>
    <xf numFmtId="4" fontId="14" fillId="0" borderId="19" xfId="0" applyFont="1" applyFill="1" applyBorder="1" applyAlignment="1">
      <alignment wrapText="1"/>
    </xf>
    <xf numFmtId="4" fontId="14" fillId="0" borderId="261" xfId="0" applyFont="1" applyBorder="1" applyAlignment="1">
      <alignment wrapText="1"/>
    </xf>
    <xf numFmtId="4" fontId="14" fillId="0" borderId="262" xfId="0" applyFont="1" applyBorder="1" applyAlignment="1">
      <alignment wrapText="1"/>
    </xf>
    <xf numFmtId="4" fontId="14" fillId="0" borderId="162" xfId="0" applyFont="1" applyBorder="1" applyAlignment="1">
      <alignment wrapText="1"/>
    </xf>
    <xf numFmtId="4" fontId="14" fillId="0" borderId="263" xfId="0" applyFont="1" applyBorder="1" applyAlignment="1">
      <alignment wrapText="1"/>
    </xf>
    <xf numFmtId="4" fontId="12" fillId="0" borderId="240" xfId="0" applyFont="1" applyBorder="1" applyAlignment="1">
      <alignment wrapText="1"/>
    </xf>
    <xf numFmtId="4" fontId="14" fillId="0" borderId="254" xfId="0" applyFont="1" applyBorder="1" applyAlignment="1">
      <alignment wrapText="1"/>
    </xf>
    <xf numFmtId="4" fontId="12" fillId="0" borderId="265" xfId="0" applyFont="1" applyBorder="1" applyAlignment="1">
      <alignment wrapText="1"/>
    </xf>
    <xf numFmtId="4" fontId="12" fillId="3" borderId="240" xfId="0" applyFont="1" applyFill="1" applyBorder="1"/>
    <xf numFmtId="4" fontId="14" fillId="0" borderId="266" xfId="0" applyFont="1" applyBorder="1" applyAlignment="1">
      <alignment wrapText="1"/>
    </xf>
    <xf numFmtId="4" fontId="14" fillId="0" borderId="257" xfId="0" applyFont="1" applyBorder="1" applyAlignment="1">
      <alignment wrapText="1"/>
    </xf>
    <xf numFmtId="4" fontId="12" fillId="0" borderId="267" xfId="0" applyFont="1" applyBorder="1" applyAlignment="1">
      <alignment wrapText="1"/>
    </xf>
    <xf numFmtId="4" fontId="12" fillId="0" borderId="101" xfId="0" applyFont="1" applyBorder="1" applyAlignment="1">
      <alignment wrapText="1"/>
    </xf>
    <xf numFmtId="4" fontId="14" fillId="0" borderId="268" xfId="0" applyFont="1" applyBorder="1" applyAlignment="1">
      <alignment wrapText="1"/>
    </xf>
    <xf numFmtId="4" fontId="14" fillId="0" borderId="269" xfId="0" applyFont="1" applyBorder="1" applyAlignment="1">
      <alignment wrapText="1"/>
    </xf>
    <xf numFmtId="4" fontId="12" fillId="0" borderId="270" xfId="0" applyFont="1" applyBorder="1" applyAlignment="1">
      <alignment wrapText="1"/>
    </xf>
    <xf numFmtId="4" fontId="0" fillId="0" borderId="257" xfId="0" applyBorder="1" applyAlignment="1">
      <alignment wrapText="1"/>
    </xf>
    <xf numFmtId="4" fontId="0" fillId="0" borderId="240" xfId="0" applyBorder="1" applyAlignment="1">
      <alignment wrapText="1"/>
    </xf>
    <xf numFmtId="165" fontId="12" fillId="0" borderId="271" xfId="1" applyFont="1" applyBorder="1" applyAlignment="1">
      <alignment horizontal="center"/>
    </xf>
    <xf numFmtId="165" fontId="12" fillId="0" borderId="267" xfId="1" applyFont="1" applyBorder="1" applyAlignment="1">
      <alignment horizontal="center"/>
    </xf>
    <xf numFmtId="4" fontId="12" fillId="3" borderId="272" xfId="0" applyFont="1" applyFill="1" applyBorder="1"/>
    <xf numFmtId="4" fontId="14" fillId="0" borderId="273" xfId="0" applyFont="1" applyBorder="1" applyAlignment="1">
      <alignment wrapText="1"/>
    </xf>
    <xf numFmtId="4" fontId="12" fillId="0" borderId="271" xfId="0" applyFont="1" applyBorder="1" applyAlignment="1">
      <alignment wrapText="1"/>
    </xf>
    <xf numFmtId="4" fontId="14" fillId="0" borderId="270" xfId="0" applyFont="1" applyBorder="1" applyAlignment="1">
      <alignment wrapText="1"/>
    </xf>
    <xf numFmtId="4" fontId="14" fillId="0" borderId="101" xfId="0" applyFont="1" applyBorder="1" applyAlignment="1">
      <alignment wrapText="1"/>
    </xf>
    <xf numFmtId="0" fontId="14" fillId="0" borderId="240" xfId="2" applyFont="1" applyBorder="1" applyAlignment="1">
      <alignment wrapText="1"/>
    </xf>
    <xf numFmtId="0" fontId="14" fillId="0" borderId="254" xfId="2" applyFont="1" applyBorder="1" applyAlignment="1">
      <alignment wrapText="1"/>
    </xf>
    <xf numFmtId="4" fontId="12" fillId="0" borderId="274" xfId="0" applyFont="1" applyBorder="1" applyAlignment="1">
      <alignment wrapText="1"/>
    </xf>
    <xf numFmtId="4" fontId="14" fillId="0" borderId="240" xfId="0" applyFont="1" applyFill="1" applyBorder="1" applyAlignment="1">
      <alignment wrapText="1"/>
    </xf>
    <xf numFmtId="4" fontId="14" fillId="0" borderId="32" xfId="0" applyFont="1" applyFill="1" applyBorder="1" applyAlignment="1">
      <alignment wrapText="1"/>
    </xf>
    <xf numFmtId="4" fontId="12" fillId="0" borderId="276" xfId="0" applyFont="1" applyBorder="1"/>
    <xf numFmtId="4" fontId="0" fillId="0" borderId="32" xfId="0" applyBorder="1"/>
    <xf numFmtId="4" fontId="0" fillId="0" borderId="277" xfId="0" applyFill="1" applyBorder="1" applyAlignment="1">
      <alignment wrapText="1"/>
    </xf>
    <xf numFmtId="4" fontId="14" fillId="0" borderId="266" xfId="0" applyFont="1" applyFill="1" applyBorder="1" applyAlignment="1">
      <alignment wrapText="1"/>
    </xf>
    <xf numFmtId="4" fontId="14" fillId="0" borderId="278" xfId="0" applyFont="1" applyBorder="1"/>
    <xf numFmtId="4" fontId="12" fillId="3" borderId="279" xfId="0" applyFont="1" applyFill="1" applyBorder="1"/>
    <xf numFmtId="4" fontId="0" fillId="0" borderId="280" xfId="0" applyBorder="1"/>
    <xf numFmtId="4" fontId="11" fillId="0" borderId="281" xfId="0" applyFont="1" applyBorder="1"/>
    <xf numFmtId="4" fontId="12" fillId="2" borderId="282" xfId="0" applyFont="1" applyFill="1" applyBorder="1" applyAlignment="1">
      <alignment wrapText="1"/>
    </xf>
    <xf numFmtId="4" fontId="12" fillId="2" borderId="236" xfId="0" applyFont="1" applyFill="1" applyBorder="1" applyAlignment="1">
      <alignment wrapText="1"/>
    </xf>
    <xf numFmtId="4" fontId="14" fillId="2" borderId="283" xfId="0" applyFont="1" applyFill="1" applyBorder="1" applyAlignment="1">
      <alignment wrapText="1"/>
    </xf>
    <xf numFmtId="4" fontId="12" fillId="2" borderId="284" xfId="0" applyFont="1" applyFill="1" applyBorder="1" applyAlignment="1">
      <alignment wrapText="1"/>
    </xf>
    <xf numFmtId="4" fontId="12" fillId="2" borderId="285" xfId="0" applyFont="1" applyFill="1" applyBorder="1" applyAlignment="1">
      <alignment wrapText="1"/>
    </xf>
    <xf numFmtId="4" fontId="12" fillId="2" borderId="251" xfId="0" applyFont="1" applyFill="1" applyBorder="1" applyAlignment="1">
      <alignment wrapText="1"/>
    </xf>
    <xf numFmtId="4" fontId="14" fillId="2" borderId="286" xfId="0" applyFont="1" applyFill="1" applyBorder="1" applyAlignment="1">
      <alignment wrapText="1"/>
    </xf>
    <xf numFmtId="4" fontId="12" fillId="2" borderId="243" xfId="0" applyFont="1" applyFill="1" applyBorder="1" applyAlignment="1">
      <alignment wrapText="1"/>
    </xf>
    <xf numFmtId="4" fontId="14" fillId="2" borderId="245" xfId="0" applyFont="1" applyFill="1" applyBorder="1" applyAlignment="1">
      <alignment wrapText="1"/>
    </xf>
    <xf numFmtId="165" fontId="12" fillId="2" borderId="284" xfId="1" applyFont="1" applyFill="1" applyBorder="1" applyAlignment="1">
      <alignment horizontal="center"/>
    </xf>
    <xf numFmtId="4" fontId="14" fillId="2" borderId="12" xfId="0" applyFont="1" applyFill="1" applyBorder="1" applyAlignment="1">
      <alignment wrapText="1"/>
    </xf>
    <xf numFmtId="165" fontId="12" fillId="2" borderId="287" xfId="1" applyFont="1" applyFill="1" applyBorder="1" applyAlignment="1">
      <alignment horizontal="center"/>
    </xf>
    <xf numFmtId="4" fontId="12" fillId="2" borderId="288" xfId="0" applyFont="1" applyFill="1" applyBorder="1" applyAlignment="1">
      <alignment wrapText="1"/>
    </xf>
    <xf numFmtId="4" fontId="12" fillId="2" borderId="245" xfId="0" applyFont="1" applyFill="1" applyBorder="1" applyAlignment="1">
      <alignment wrapText="1"/>
    </xf>
    <xf numFmtId="4" fontId="12" fillId="2" borderId="288" xfId="0" applyFont="1" applyFill="1" applyBorder="1"/>
    <xf numFmtId="4" fontId="12" fillId="2" borderId="287" xfId="0" applyFont="1" applyFill="1" applyBorder="1" applyAlignment="1">
      <alignment wrapText="1"/>
    </xf>
    <xf numFmtId="4" fontId="12" fillId="2" borderId="288" xfId="0" applyFont="1" applyFill="1" applyBorder="1" applyAlignment="1"/>
    <xf numFmtId="4" fontId="14" fillId="2" borderId="289" xfId="0" applyFont="1" applyFill="1" applyBorder="1" applyAlignment="1">
      <alignment wrapText="1"/>
    </xf>
    <xf numFmtId="4" fontId="14" fillId="2" borderId="258" xfId="0" applyFont="1" applyFill="1" applyBorder="1" applyAlignment="1">
      <alignment wrapText="1"/>
    </xf>
    <xf numFmtId="4" fontId="14" fillId="2" borderId="241" xfId="0" applyFont="1" applyFill="1" applyBorder="1" applyAlignment="1">
      <alignment wrapText="1"/>
    </xf>
    <xf numFmtId="4" fontId="12" fillId="2" borderId="287" xfId="0" applyFont="1" applyFill="1" applyBorder="1"/>
    <xf numFmtId="4" fontId="12" fillId="2" borderId="290" xfId="0" applyFont="1" applyFill="1" applyBorder="1"/>
    <xf numFmtId="4" fontId="12" fillId="2" borderId="236" xfId="0" applyFont="1" applyFill="1" applyBorder="1"/>
    <xf numFmtId="4" fontId="12" fillId="2" borderId="286" xfId="0" applyFont="1" applyFill="1" applyBorder="1" applyAlignment="1">
      <alignment wrapText="1"/>
    </xf>
    <xf numFmtId="4" fontId="12" fillId="2" borderId="291" xfId="0" applyFont="1" applyFill="1" applyBorder="1"/>
    <xf numFmtId="4" fontId="0" fillId="2" borderId="236" xfId="0" applyFill="1" applyBorder="1"/>
    <xf numFmtId="4" fontId="14" fillId="2" borderId="292" xfId="0" applyFont="1" applyFill="1" applyBorder="1" applyAlignment="1">
      <alignment wrapText="1"/>
    </xf>
    <xf numFmtId="4" fontId="13" fillId="3" borderId="284" xfId="0" applyFont="1" applyFill="1" applyBorder="1"/>
    <xf numFmtId="4" fontId="0" fillId="0" borderId="285" xfId="0" applyBorder="1"/>
    <xf numFmtId="4" fontId="14" fillId="0" borderId="293" xfId="0" applyFont="1" applyBorder="1"/>
    <xf numFmtId="4" fontId="12" fillId="2" borderId="294" xfId="0" applyFont="1" applyFill="1" applyBorder="1" applyAlignment="1">
      <alignment wrapText="1"/>
    </xf>
    <xf numFmtId="4" fontId="12" fillId="2" borderId="295" xfId="0" applyFont="1" applyFill="1" applyBorder="1" applyAlignment="1">
      <alignment wrapText="1"/>
    </xf>
    <xf numFmtId="4" fontId="12" fillId="2" borderId="296" xfId="0" applyFont="1" applyFill="1" applyBorder="1" applyAlignment="1">
      <alignment wrapText="1"/>
    </xf>
    <xf numFmtId="4" fontId="12" fillId="2" borderId="297" xfId="0" applyFont="1" applyFill="1" applyBorder="1" applyAlignment="1">
      <alignment wrapText="1"/>
    </xf>
    <xf numFmtId="4" fontId="12" fillId="2" borderId="298" xfId="0" applyFont="1" applyFill="1" applyBorder="1" applyAlignment="1">
      <alignment wrapText="1"/>
    </xf>
    <xf numFmtId="4" fontId="12" fillId="2" borderId="299" xfId="0" applyFont="1" applyFill="1" applyBorder="1" applyAlignment="1">
      <alignment wrapText="1"/>
    </xf>
    <xf numFmtId="4" fontId="14" fillId="2" borderId="300" xfId="0" applyFont="1" applyFill="1" applyBorder="1" applyAlignment="1">
      <alignment wrapText="1"/>
    </xf>
    <xf numFmtId="4" fontId="12" fillId="2" borderId="301" xfId="0" applyFont="1" applyFill="1" applyBorder="1" applyAlignment="1">
      <alignment wrapText="1"/>
    </xf>
    <xf numFmtId="4" fontId="14" fillId="2" borderId="301" xfId="0" applyFont="1" applyFill="1" applyBorder="1" applyAlignment="1">
      <alignment wrapText="1"/>
    </xf>
    <xf numFmtId="4" fontId="12" fillId="2" borderId="304" xfId="0" applyFont="1" applyFill="1" applyBorder="1" applyAlignment="1">
      <alignment wrapText="1"/>
    </xf>
    <xf numFmtId="4" fontId="14" fillId="2" borderId="248" xfId="0" applyFont="1" applyFill="1" applyBorder="1" applyAlignment="1">
      <alignment wrapText="1"/>
    </xf>
    <xf numFmtId="4" fontId="12" fillId="2" borderId="305" xfId="0" applyFont="1" applyFill="1" applyBorder="1" applyAlignment="1">
      <alignment wrapText="1"/>
    </xf>
    <xf numFmtId="4" fontId="12" fillId="2" borderId="306" xfId="0" applyFont="1" applyFill="1" applyBorder="1" applyAlignment="1">
      <alignment wrapText="1"/>
    </xf>
    <xf numFmtId="4" fontId="12" fillId="2" borderId="307" xfId="0" applyFont="1" applyFill="1" applyBorder="1" applyAlignment="1">
      <alignment wrapText="1"/>
    </xf>
    <xf numFmtId="4" fontId="12" fillId="2" borderId="308" xfId="0" applyFont="1" applyFill="1" applyBorder="1" applyAlignment="1">
      <alignment wrapText="1"/>
    </xf>
    <xf numFmtId="4" fontId="12" fillId="2" borderId="302" xfId="0" applyFont="1" applyFill="1" applyBorder="1" applyAlignment="1">
      <alignment wrapText="1"/>
    </xf>
    <xf numFmtId="4" fontId="12" fillId="2" borderId="303" xfId="0" applyFont="1" applyFill="1" applyBorder="1" applyAlignment="1">
      <alignment wrapText="1"/>
    </xf>
    <xf numFmtId="4" fontId="12" fillId="2" borderId="309" xfId="0" applyFont="1" applyFill="1" applyBorder="1" applyAlignment="1">
      <alignment wrapText="1"/>
    </xf>
    <xf numFmtId="4" fontId="12" fillId="2" borderId="310" xfId="0" applyFont="1" applyFill="1" applyBorder="1" applyAlignment="1">
      <alignment wrapText="1"/>
    </xf>
    <xf numFmtId="4" fontId="12" fillId="2" borderId="248" xfId="0" applyFont="1" applyFill="1" applyBorder="1" applyAlignment="1">
      <alignment wrapText="1"/>
    </xf>
    <xf numFmtId="4" fontId="12" fillId="2" borderId="311" xfId="0" applyFont="1" applyFill="1" applyBorder="1" applyAlignment="1">
      <alignment wrapText="1"/>
    </xf>
    <xf numFmtId="4" fontId="14" fillId="2" borderId="312" xfId="0" applyFont="1" applyFill="1" applyBorder="1" applyAlignment="1">
      <alignment wrapText="1"/>
    </xf>
    <xf numFmtId="4" fontId="14" fillId="2" borderId="313" xfId="0" applyFont="1" applyFill="1" applyBorder="1" applyAlignment="1">
      <alignment wrapText="1"/>
    </xf>
    <xf numFmtId="4" fontId="14" fillId="2" borderId="314" xfId="0" applyFont="1" applyFill="1" applyBorder="1" applyAlignment="1">
      <alignment wrapText="1"/>
    </xf>
    <xf numFmtId="4" fontId="14" fillId="2" borderId="316" xfId="0" applyFont="1" applyFill="1" applyBorder="1" applyAlignment="1">
      <alignment wrapText="1"/>
    </xf>
    <xf numFmtId="165" fontId="14" fillId="2" borderId="312" xfId="1" applyFont="1" applyFill="1" applyBorder="1" applyAlignment="1">
      <alignment wrapText="1"/>
    </xf>
    <xf numFmtId="165" fontId="14" fillId="2" borderId="313" xfId="1" applyFont="1" applyFill="1" applyBorder="1" applyAlignment="1">
      <alignment wrapText="1"/>
    </xf>
    <xf numFmtId="4" fontId="14" fillId="2" borderId="317" xfId="0" applyFont="1" applyFill="1" applyBorder="1" applyAlignment="1">
      <alignment wrapText="1"/>
    </xf>
    <xf numFmtId="4" fontId="14" fillId="2" borderId="318" xfId="0" applyFont="1" applyFill="1" applyBorder="1" applyAlignment="1">
      <alignment wrapText="1"/>
    </xf>
    <xf numFmtId="4" fontId="12" fillId="2" borderId="312" xfId="0" applyFont="1" applyFill="1" applyBorder="1" applyAlignment="1">
      <alignment wrapText="1"/>
    </xf>
    <xf numFmtId="4" fontId="12" fillId="2" borderId="313" xfId="0" applyFont="1" applyFill="1" applyBorder="1" applyAlignment="1">
      <alignment wrapText="1"/>
    </xf>
    <xf numFmtId="4" fontId="12" fillId="2" borderId="319" xfId="0" applyFont="1" applyFill="1" applyBorder="1" applyAlignment="1">
      <alignment wrapText="1"/>
    </xf>
    <xf numFmtId="4" fontId="12" fillId="3" borderId="301" xfId="0" applyFont="1" applyFill="1" applyBorder="1"/>
    <xf numFmtId="4" fontId="12" fillId="3" borderId="238" xfId="0" applyFont="1" applyFill="1" applyBorder="1"/>
    <xf numFmtId="4" fontId="14" fillId="2" borderId="310" xfId="0" applyFont="1" applyFill="1" applyBorder="1" applyAlignment="1">
      <alignment wrapText="1"/>
    </xf>
    <xf numFmtId="4" fontId="14" fillId="2" borderId="297" xfId="0" applyFont="1" applyFill="1" applyBorder="1" applyAlignment="1">
      <alignment wrapText="1"/>
    </xf>
    <xf numFmtId="4" fontId="14" fillId="2" borderId="87" xfId="0" applyFont="1" applyFill="1" applyBorder="1" applyAlignment="1">
      <alignment wrapText="1"/>
    </xf>
    <xf numFmtId="4" fontId="14" fillId="2" borderId="320" xfId="0" applyFont="1" applyFill="1" applyBorder="1" applyAlignment="1">
      <alignment wrapText="1"/>
    </xf>
    <xf numFmtId="4" fontId="14" fillId="2" borderId="252" xfId="0" applyFont="1" applyFill="1" applyBorder="1" applyAlignment="1">
      <alignment wrapText="1"/>
    </xf>
    <xf numFmtId="165" fontId="12" fillId="2" borderId="305" xfId="1" applyFont="1" applyFill="1" applyBorder="1" applyAlignment="1">
      <alignment horizontal="center"/>
    </xf>
    <xf numFmtId="4" fontId="12" fillId="2" borderId="321" xfId="0" applyFont="1" applyFill="1" applyBorder="1" applyAlignment="1">
      <alignment wrapText="1"/>
    </xf>
    <xf numFmtId="4" fontId="12" fillId="2" borderId="322" xfId="0" applyFont="1" applyFill="1" applyBorder="1" applyAlignment="1">
      <alignment wrapText="1"/>
    </xf>
    <xf numFmtId="4" fontId="12" fillId="2" borderId="323" xfId="0" applyFont="1" applyFill="1" applyBorder="1" applyAlignment="1">
      <alignment wrapText="1"/>
    </xf>
    <xf numFmtId="4" fontId="12" fillId="2" borderId="324" xfId="0" applyFont="1" applyFill="1" applyBorder="1" applyAlignment="1">
      <alignment wrapText="1"/>
    </xf>
    <xf numFmtId="165" fontId="12" fillId="2" borderId="325" xfId="1" applyFont="1" applyFill="1" applyBorder="1" applyAlignment="1">
      <alignment horizontal="center"/>
    </xf>
    <xf numFmtId="4" fontId="12" fillId="2" borderId="326" xfId="0" applyFont="1" applyFill="1" applyBorder="1" applyAlignment="1">
      <alignment wrapText="1"/>
    </xf>
    <xf numFmtId="4" fontId="12" fillId="2" borderId="327" xfId="0" applyFont="1" applyFill="1" applyBorder="1" applyAlignment="1">
      <alignment wrapText="1"/>
    </xf>
    <xf numFmtId="4" fontId="12" fillId="2" borderId="328" xfId="0" applyFont="1" applyFill="1" applyBorder="1" applyAlignment="1">
      <alignment wrapText="1"/>
    </xf>
    <xf numFmtId="4" fontId="12" fillId="2" borderId="320" xfId="0" applyFont="1" applyFill="1" applyBorder="1" applyAlignment="1">
      <alignment wrapText="1"/>
    </xf>
    <xf numFmtId="4" fontId="12" fillId="2" borderId="252" xfId="0" applyFont="1" applyFill="1" applyBorder="1" applyAlignment="1">
      <alignment wrapText="1"/>
    </xf>
    <xf numFmtId="4" fontId="12" fillId="2" borderId="329" xfId="0" applyFont="1" applyFill="1" applyBorder="1" applyAlignment="1">
      <alignment wrapText="1"/>
    </xf>
    <xf numFmtId="4" fontId="14" fillId="2" borderId="319" xfId="0" applyFont="1" applyFill="1" applyBorder="1" applyAlignment="1">
      <alignment wrapText="1"/>
    </xf>
    <xf numFmtId="165" fontId="12" fillId="2" borderId="330" xfId="1" applyFont="1" applyFill="1" applyBorder="1" applyAlignment="1">
      <alignment horizontal="center"/>
    </xf>
    <xf numFmtId="4" fontId="14" fillId="2" borderId="321" xfId="0" applyFont="1" applyFill="1" applyBorder="1" applyAlignment="1">
      <alignment wrapText="1"/>
    </xf>
    <xf numFmtId="4" fontId="14" fillId="2" borderId="299" xfId="0" applyFont="1" applyFill="1" applyBorder="1" applyAlignment="1">
      <alignment wrapText="1"/>
    </xf>
    <xf numFmtId="4" fontId="14" fillId="2" borderId="253" xfId="0" applyFont="1" applyFill="1" applyBorder="1" applyAlignment="1">
      <alignment wrapText="1"/>
    </xf>
    <xf numFmtId="165" fontId="14" fillId="2" borderId="301" xfId="8" applyFont="1" applyFill="1" applyBorder="1" applyAlignment="1">
      <alignment wrapText="1"/>
    </xf>
    <xf numFmtId="165" fontId="14" fillId="2" borderId="313" xfId="8" applyFont="1" applyFill="1" applyBorder="1" applyAlignment="1">
      <alignment wrapText="1"/>
    </xf>
    <xf numFmtId="4" fontId="12" fillId="2" borderId="331" xfId="0" applyFont="1" applyFill="1" applyBorder="1" applyAlignment="1">
      <alignment wrapText="1"/>
    </xf>
    <xf numFmtId="4" fontId="12" fillId="3" borderId="332" xfId="0" applyFont="1" applyFill="1" applyBorder="1"/>
    <xf numFmtId="4" fontId="12" fillId="3" borderId="333" xfId="0" applyFont="1" applyFill="1" applyBorder="1"/>
    <xf numFmtId="4" fontId="12" fillId="3" borderId="334" xfId="0" applyFont="1" applyFill="1" applyBorder="1"/>
    <xf numFmtId="4" fontId="14" fillId="2" borderId="335" xfId="0" applyFont="1" applyFill="1" applyBorder="1" applyAlignment="1">
      <alignment wrapText="1"/>
    </xf>
    <xf numFmtId="4" fontId="14" fillId="2" borderId="323" xfId="0" applyFont="1" applyFill="1" applyBorder="1" applyAlignment="1">
      <alignment wrapText="1"/>
    </xf>
    <xf numFmtId="165" fontId="14" fillId="2" borderId="301" xfId="1" applyFont="1" applyFill="1" applyBorder="1" applyAlignment="1">
      <alignment wrapText="1"/>
    </xf>
    <xf numFmtId="4" fontId="14" fillId="2" borderId="304" xfId="0" applyFont="1" applyFill="1" applyBorder="1" applyAlignment="1">
      <alignment wrapText="1"/>
    </xf>
    <xf numFmtId="4" fontId="12" fillId="2" borderId="330" xfId="0" applyFont="1" applyFill="1" applyBorder="1"/>
    <xf numFmtId="4" fontId="14" fillId="2" borderId="338" xfId="0" applyFont="1" applyFill="1" applyBorder="1" applyAlignment="1">
      <alignment wrapText="1"/>
    </xf>
    <xf numFmtId="4" fontId="14" fillId="2" borderId="301" xfId="0" applyFont="1" applyFill="1" applyBorder="1" applyAlignment="1">
      <alignment horizontal="center" wrapText="1"/>
    </xf>
    <xf numFmtId="168" fontId="14" fillId="2" borderId="86" xfId="5" applyFont="1" applyFill="1" applyBorder="1" applyAlignment="1">
      <alignment wrapText="1"/>
    </xf>
    <xf numFmtId="4" fontId="12" fillId="2" borderId="315" xfId="0" applyFont="1" applyFill="1" applyBorder="1" applyAlignment="1">
      <alignment wrapText="1"/>
    </xf>
    <xf numFmtId="4" fontId="12" fillId="2" borderId="156" xfId="0" applyFont="1" applyFill="1" applyBorder="1" applyAlignment="1">
      <alignment wrapText="1"/>
    </xf>
    <xf numFmtId="4" fontId="12" fillId="2" borderId="90" xfId="0" applyFont="1" applyFill="1" applyBorder="1" applyAlignment="1">
      <alignment wrapText="1"/>
    </xf>
    <xf numFmtId="165" fontId="14" fillId="2" borderId="320" xfId="8" applyFont="1" applyFill="1" applyBorder="1" applyAlignment="1">
      <alignment wrapText="1"/>
    </xf>
    <xf numFmtId="168" fontId="14" fillId="2" borderId="301" xfId="5" applyFont="1" applyFill="1" applyBorder="1" applyAlignment="1">
      <alignment wrapText="1"/>
    </xf>
    <xf numFmtId="168" fontId="14" fillId="2" borderId="238" xfId="5" applyFont="1" applyFill="1" applyBorder="1" applyAlignment="1">
      <alignment wrapText="1"/>
    </xf>
    <xf numFmtId="4" fontId="18" fillId="2" borderId="339" xfId="0" applyFont="1" applyFill="1" applyBorder="1" applyAlignment="1">
      <alignment wrapText="1"/>
    </xf>
    <xf numFmtId="4" fontId="18" fillId="2" borderId="103" xfId="0" applyFont="1" applyFill="1" applyBorder="1" applyAlignment="1">
      <alignment wrapText="1"/>
    </xf>
    <xf numFmtId="4" fontId="18" fillId="2" borderId="88" xfId="0" applyFont="1" applyFill="1" applyBorder="1" applyAlignment="1">
      <alignment wrapText="1"/>
    </xf>
    <xf numFmtId="4" fontId="12" fillId="2" borderId="340" xfId="0" applyFont="1" applyFill="1" applyBorder="1"/>
    <xf numFmtId="4" fontId="12" fillId="2" borderId="341" xfId="0" applyFont="1" applyFill="1" applyBorder="1"/>
    <xf numFmtId="4" fontId="12" fillId="2" borderId="342" xfId="0" applyFont="1" applyFill="1" applyBorder="1"/>
    <xf numFmtId="4" fontId="12" fillId="2" borderId="316" xfId="0" applyFont="1" applyFill="1" applyBorder="1" applyAlignment="1">
      <alignment wrapText="1"/>
    </xf>
    <xf numFmtId="4" fontId="12" fillId="2" borderId="247" xfId="0" applyFont="1" applyFill="1" applyBorder="1" applyAlignment="1">
      <alignment wrapText="1"/>
    </xf>
    <xf numFmtId="4" fontId="12" fillId="2" borderId="343" xfId="0" applyFont="1" applyFill="1" applyBorder="1" applyAlignment="1">
      <alignment wrapText="1"/>
    </xf>
    <xf numFmtId="165" fontId="14" fillId="2" borderId="304" xfId="8" applyFont="1" applyFill="1" applyBorder="1" applyAlignment="1">
      <alignment wrapText="1"/>
    </xf>
    <xf numFmtId="4" fontId="0" fillId="2" borderId="336" xfId="0" applyFill="1" applyBorder="1" applyAlignment="1">
      <alignment wrapText="1"/>
    </xf>
    <xf numFmtId="4" fontId="0" fillId="2" borderId="337" xfId="0" applyFill="1" applyBorder="1" applyAlignment="1">
      <alignment wrapText="1"/>
    </xf>
    <xf numFmtId="4" fontId="0" fillId="2" borderId="344" xfId="0" applyFill="1" applyBorder="1" applyAlignment="1">
      <alignment wrapText="1"/>
    </xf>
    <xf numFmtId="165" fontId="14" fillId="2" borderId="345" xfId="1" applyFont="1" applyFill="1" applyBorder="1" applyAlignment="1">
      <alignment wrapText="1"/>
    </xf>
    <xf numFmtId="165" fontId="14" fillId="2" borderId="346" xfId="1" applyFont="1" applyFill="1" applyBorder="1" applyAlignment="1">
      <alignment wrapText="1"/>
    </xf>
    <xf numFmtId="4" fontId="13" fillId="3" borderId="305" xfId="0" applyFont="1" applyFill="1" applyBorder="1"/>
    <xf numFmtId="4" fontId="14" fillId="0" borderId="347" xfId="0" applyFont="1" applyBorder="1"/>
    <xf numFmtId="4" fontId="14" fillId="0" borderId="348" xfId="0" applyFont="1" applyBorder="1"/>
    <xf numFmtId="4" fontId="15" fillId="0" borderId="349" xfId="0" applyFont="1" applyBorder="1"/>
    <xf numFmtId="4" fontId="15" fillId="0" borderId="347" xfId="0" applyFont="1" applyBorder="1"/>
    <xf numFmtId="4" fontId="15" fillId="0" borderId="348" xfId="0" applyFont="1" applyBorder="1"/>
    <xf numFmtId="4" fontId="12" fillId="0" borderId="350" xfId="0" applyFont="1" applyBorder="1"/>
    <xf numFmtId="4" fontId="12" fillId="0" borderId="351" xfId="0" applyFont="1" applyBorder="1"/>
    <xf numFmtId="4" fontId="12" fillId="0" borderId="352" xfId="0" applyFont="1" applyBorder="1"/>
    <xf numFmtId="4" fontId="13" fillId="0" borderId="313" xfId="0" applyFont="1" applyBorder="1" applyAlignment="1">
      <alignment wrapText="1"/>
    </xf>
    <xf numFmtId="165" fontId="14" fillId="2" borderId="353" xfId="8" applyFont="1" applyFill="1" applyBorder="1" applyAlignment="1">
      <alignment wrapText="1"/>
    </xf>
    <xf numFmtId="4" fontId="12" fillId="2" borderId="354" xfId="0" applyFont="1" applyFill="1" applyBorder="1" applyAlignment="1">
      <alignment wrapText="1"/>
    </xf>
    <xf numFmtId="4" fontId="14" fillId="2" borderId="354" xfId="0" applyFont="1" applyFill="1" applyBorder="1" applyAlignment="1">
      <alignment wrapText="1"/>
    </xf>
    <xf numFmtId="4" fontId="14" fillId="0" borderId="346" xfId="0" applyFont="1" applyFill="1" applyBorder="1" applyAlignment="1">
      <alignment wrapText="1"/>
    </xf>
    <xf numFmtId="4" fontId="0" fillId="0" borderId="0" xfId="0" quotePrefix="1" applyBorder="1"/>
    <xf numFmtId="4" fontId="19" fillId="0" borderId="242" xfId="0" applyFont="1" applyBorder="1" applyAlignment="1">
      <alignment wrapText="1"/>
    </xf>
    <xf numFmtId="4" fontId="13" fillId="0" borderId="256" xfId="0" applyFont="1" applyBorder="1"/>
    <xf numFmtId="4" fontId="19" fillId="0" borderId="238" xfId="0" applyFont="1" applyBorder="1" applyAlignment="1">
      <alignment wrapText="1"/>
    </xf>
    <xf numFmtId="4" fontId="6" fillId="0" borderId="256" xfId="0" applyFont="1" applyBorder="1"/>
    <xf numFmtId="4" fontId="19" fillId="0" borderId="259" xfId="0" applyFont="1" applyBorder="1" applyAlignment="1">
      <alignment wrapText="1"/>
    </xf>
    <xf numFmtId="4" fontId="13" fillId="0" borderId="242" xfId="0" applyFont="1" applyBorder="1" applyAlignment="1">
      <alignment wrapText="1"/>
    </xf>
    <xf numFmtId="4" fontId="19" fillId="0" borderId="256" xfId="0" applyFont="1" applyBorder="1"/>
    <xf numFmtId="4" fontId="6" fillId="0" borderId="242" xfId="0" applyFont="1" applyBorder="1" applyAlignment="1">
      <alignment wrapText="1"/>
    </xf>
    <xf numFmtId="0" fontId="3" fillId="0" borderId="259" xfId="3" applyBorder="1"/>
    <xf numFmtId="0" fontId="3" fillId="0" borderId="359" xfId="3" applyBorder="1"/>
    <xf numFmtId="0" fontId="20" fillId="0" borderId="360" xfId="3" applyFont="1" applyFill="1" applyBorder="1" applyAlignment="1">
      <alignment horizontal="left" wrapText="1"/>
    </xf>
    <xf numFmtId="165" fontId="3" fillId="0" borderId="360" xfId="1" applyBorder="1"/>
    <xf numFmtId="0" fontId="3" fillId="0" borderId="221" xfId="3" applyBorder="1"/>
    <xf numFmtId="0" fontId="3" fillId="0" borderId="256" xfId="3" applyFill="1" applyBorder="1"/>
    <xf numFmtId="0" fontId="20" fillId="0" borderId="242" xfId="3" applyFont="1" applyFill="1" applyBorder="1" applyAlignment="1">
      <alignment horizontal="center" wrapText="1"/>
    </xf>
    <xf numFmtId="0" fontId="20" fillId="5" borderId="242" xfId="3" applyFont="1" applyFill="1" applyBorder="1" applyAlignment="1">
      <alignment horizontal="center"/>
    </xf>
    <xf numFmtId="165" fontId="3" fillId="5" borderId="242" xfId="1" applyFill="1" applyBorder="1" applyAlignment="1">
      <alignment horizontal="center"/>
    </xf>
    <xf numFmtId="0" fontId="3" fillId="0" borderId="235" xfId="3" applyBorder="1"/>
    <xf numFmtId="166" fontId="13" fillId="0" borderId="256" xfId="0" applyNumberFormat="1" applyFont="1" applyBorder="1" applyAlignment="1">
      <alignment wrapText="1"/>
    </xf>
    <xf numFmtId="0" fontId="20" fillId="0" borderId="242" xfId="3" applyFont="1" applyBorder="1" applyAlignment="1">
      <alignment horizontal="center"/>
    </xf>
    <xf numFmtId="4" fontId="6" fillId="0" borderId="361" xfId="0" applyFont="1" applyBorder="1" applyAlignment="1">
      <alignment wrapText="1"/>
    </xf>
    <xf numFmtId="4" fontId="19" fillId="0" borderId="237" xfId="0" applyFont="1" applyBorder="1" applyAlignment="1">
      <alignment wrapText="1"/>
    </xf>
    <xf numFmtId="4" fontId="6" fillId="0" borderId="232" xfId="0" applyFont="1" applyBorder="1" applyAlignment="1">
      <alignment wrapText="1"/>
    </xf>
    <xf numFmtId="4" fontId="19" fillId="0" borderId="244" xfId="0" applyFont="1" applyBorder="1" applyAlignment="1">
      <alignment wrapText="1"/>
    </xf>
    <xf numFmtId="4" fontId="6" fillId="0" borderId="362" xfId="0" applyFont="1" applyBorder="1"/>
    <xf numFmtId="4" fontId="19" fillId="0" borderId="355" xfId="0" applyFont="1" applyBorder="1" applyAlignment="1">
      <alignment wrapText="1"/>
    </xf>
    <xf numFmtId="4" fontId="6" fillId="0" borderId="232" xfId="0" applyFont="1" applyBorder="1"/>
    <xf numFmtId="4" fontId="12" fillId="0" borderId="256" xfId="0" applyFont="1" applyBorder="1" applyAlignment="1">
      <alignment wrapText="1"/>
    </xf>
    <xf numFmtId="4" fontId="6" fillId="0" borderId="244" xfId="0" applyFont="1" applyBorder="1" applyAlignment="1">
      <alignment wrapText="1"/>
    </xf>
    <xf numFmtId="4" fontId="6" fillId="0" borderId="363" xfId="0" applyFont="1" applyBorder="1"/>
    <xf numFmtId="4" fontId="19" fillId="0" borderId="364" xfId="0" applyFont="1" applyBorder="1" applyAlignment="1">
      <alignment wrapText="1"/>
    </xf>
    <xf numFmtId="4" fontId="6" fillId="0" borderId="232" xfId="0" quotePrefix="1" applyFont="1" applyBorder="1"/>
    <xf numFmtId="4" fontId="6" fillId="0" borderId="77" xfId="0" quotePrefix="1" applyFont="1" applyBorder="1"/>
    <xf numFmtId="0" fontId="3" fillId="0" borderId="242" xfId="3" applyBorder="1"/>
    <xf numFmtId="4" fontId="19" fillId="0" borderId="233" xfId="0" applyFont="1" applyBorder="1" applyAlignment="1">
      <alignment wrapText="1"/>
    </xf>
    <xf numFmtId="3" fontId="6" fillId="0" borderId="256" xfId="0" applyNumberFormat="1" applyFont="1" applyBorder="1"/>
    <xf numFmtId="166" fontId="6" fillId="0" borderId="256" xfId="0" applyNumberFormat="1" applyFont="1" applyBorder="1"/>
    <xf numFmtId="4" fontId="6" fillId="0" borderId="365" xfId="0" applyFont="1" applyBorder="1"/>
    <xf numFmtId="4" fontId="19" fillId="0" borderId="246" xfId="0" applyFont="1" applyBorder="1" applyAlignment="1">
      <alignment wrapText="1"/>
    </xf>
    <xf numFmtId="4" fontId="6" fillId="0" borderId="366" xfId="0" applyFont="1" applyBorder="1"/>
    <xf numFmtId="4" fontId="19" fillId="0" borderId="158" xfId="0" applyFont="1" applyBorder="1" applyAlignment="1">
      <alignment wrapText="1"/>
    </xf>
    <xf numFmtId="4" fontId="6" fillId="0" borderId="232" xfId="0" applyFont="1" applyFill="1" applyBorder="1"/>
    <xf numFmtId="4" fontId="6" fillId="0" borderId="249" xfId="0" applyFont="1" applyFill="1" applyBorder="1"/>
    <xf numFmtId="4" fontId="19" fillId="0" borderId="250" xfId="0" applyFont="1" applyBorder="1" applyAlignment="1">
      <alignment wrapText="1"/>
    </xf>
    <xf numFmtId="4" fontId="19" fillId="0" borderId="365" xfId="0" applyFont="1" applyBorder="1"/>
    <xf numFmtId="4" fontId="19" fillId="0" borderId="362" xfId="0" applyFont="1" applyBorder="1"/>
    <xf numFmtId="4" fontId="19" fillId="0" borderId="77" xfId="0" applyFont="1" applyBorder="1"/>
    <xf numFmtId="166" fontId="6" fillId="0" borderId="256" xfId="0" applyNumberFormat="1" applyFont="1" applyBorder="1" applyAlignment="1">
      <alignment horizontal="center"/>
    </xf>
    <xf numFmtId="0" fontId="3" fillId="0" borderId="256" xfId="3" applyBorder="1"/>
    <xf numFmtId="4" fontId="6" fillId="0" borderId="362" xfId="0" applyFont="1" applyBorder="1" applyAlignment="1">
      <alignment wrapText="1"/>
    </xf>
    <xf numFmtId="4" fontId="6" fillId="0" borderId="366" xfId="0" applyFont="1" applyBorder="1" applyAlignment="1">
      <alignment wrapText="1"/>
    </xf>
    <xf numFmtId="4" fontId="6" fillId="0" borderId="77" xfId="0" applyFont="1" applyBorder="1" applyAlignment="1">
      <alignment wrapText="1"/>
    </xf>
    <xf numFmtId="3" fontId="12" fillId="0" borderId="256" xfId="0" applyNumberFormat="1" applyFont="1" applyBorder="1" applyAlignment="1">
      <alignment horizontal="center"/>
    </xf>
    <xf numFmtId="4" fontId="6" fillId="0" borderId="361" xfId="0" applyFont="1" applyBorder="1"/>
    <xf numFmtId="4" fontId="6" fillId="0" borderId="362" xfId="0" applyFont="1" applyFill="1" applyBorder="1"/>
    <xf numFmtId="4" fontId="6" fillId="0" borderId="367" xfId="0" applyFont="1" applyFill="1" applyBorder="1"/>
    <xf numFmtId="4" fontId="19" fillId="0" borderId="368" xfId="0" applyFont="1" applyBorder="1" applyAlignment="1">
      <alignment wrapText="1"/>
    </xf>
    <xf numFmtId="0" fontId="43" fillId="0" borderId="256" xfId="3" applyFont="1" applyBorder="1"/>
    <xf numFmtId="4" fontId="6" fillId="0" borderId="256" xfId="0" applyFont="1" applyBorder="1" applyAlignment="1">
      <alignment horizontal="center"/>
    </xf>
    <xf numFmtId="4" fontId="6" fillId="0" borderId="369" xfId="0" applyFont="1" applyBorder="1"/>
    <xf numFmtId="4" fontId="6" fillId="0" borderId="356" xfId="0" applyFont="1" applyBorder="1"/>
    <xf numFmtId="4" fontId="19" fillId="0" borderId="370" xfId="0" applyFont="1" applyBorder="1" applyAlignment="1">
      <alignment wrapText="1"/>
    </xf>
    <xf numFmtId="49" fontId="6" fillId="0" borderId="362" xfId="3" applyNumberFormat="1" applyFont="1" applyBorder="1"/>
    <xf numFmtId="4" fontId="6" fillId="0" borderId="249" xfId="0" applyFont="1" applyBorder="1"/>
    <xf numFmtId="0" fontId="19" fillId="0" borderId="244" xfId="2" applyFont="1" applyBorder="1" applyAlignment="1">
      <alignment wrapText="1"/>
    </xf>
    <xf numFmtId="0" fontId="19" fillId="0" borderId="355" xfId="2" applyFont="1" applyBorder="1" applyAlignment="1">
      <alignment wrapText="1"/>
    </xf>
    <xf numFmtId="2" fontId="6" fillId="0" borderId="365" xfId="0" applyNumberFormat="1" applyFont="1" applyBorder="1"/>
    <xf numFmtId="0" fontId="19" fillId="0" borderId="364" xfId="2" applyFont="1" applyBorder="1" applyAlignment="1">
      <alignment wrapText="1"/>
    </xf>
    <xf numFmtId="4" fontId="6" fillId="0" borderId="77" xfId="0" applyFont="1" applyBorder="1"/>
    <xf numFmtId="4" fontId="6" fillId="13" borderId="232" xfId="0" applyFont="1" applyFill="1" applyBorder="1"/>
    <xf numFmtId="4" fontId="19" fillId="0" borderId="355" xfId="0" applyFont="1" applyFill="1" applyBorder="1" applyAlignment="1">
      <alignment wrapText="1"/>
    </xf>
    <xf numFmtId="4" fontId="6" fillId="0" borderId="371" xfId="0" applyFont="1" applyBorder="1"/>
    <xf numFmtId="4" fontId="19" fillId="0" borderId="368" xfId="0" applyFont="1" applyFill="1" applyBorder="1" applyAlignment="1">
      <alignment wrapText="1"/>
    </xf>
    <xf numFmtId="4" fontId="19" fillId="0" borderId="244" xfId="0" applyFont="1" applyFill="1" applyBorder="1" applyAlignment="1">
      <alignment wrapText="1"/>
    </xf>
    <xf numFmtId="4" fontId="19" fillId="0" borderId="246" xfId="0" applyFont="1" applyFill="1" applyBorder="1" applyAlignment="1">
      <alignment wrapText="1"/>
    </xf>
    <xf numFmtId="4" fontId="19" fillId="0" borderId="233" xfId="0" applyFont="1" applyFill="1" applyBorder="1" applyAlignment="1">
      <alignment wrapText="1"/>
    </xf>
    <xf numFmtId="0" fontId="3" fillId="0" borderId="242" xfId="3" applyBorder="1" applyAlignment="1">
      <alignment wrapText="1"/>
    </xf>
    <xf numFmtId="4" fontId="13" fillId="0" borderId="357" xfId="0" applyFont="1" applyFill="1" applyBorder="1"/>
    <xf numFmtId="0" fontId="3" fillId="0" borderId="372" xfId="3" applyBorder="1"/>
    <xf numFmtId="0" fontId="26" fillId="6" borderId="118" xfId="3" applyFont="1" applyFill="1" applyBorder="1"/>
    <xf numFmtId="0" fontId="32" fillId="0" borderId="373" xfId="3" applyFont="1" applyBorder="1"/>
    <xf numFmtId="4" fontId="14" fillId="2" borderId="375" xfId="0" applyFont="1" applyFill="1" applyBorder="1" applyAlignment="1">
      <alignment wrapText="1"/>
    </xf>
    <xf numFmtId="4" fontId="14" fillId="2" borderId="374" xfId="0" applyFont="1" applyFill="1" applyBorder="1" applyAlignment="1">
      <alignment wrapText="1"/>
    </xf>
    <xf numFmtId="4" fontId="0" fillId="2" borderId="32" xfId="0" applyFill="1" applyBorder="1"/>
    <xf numFmtId="4" fontId="0" fillId="0" borderId="379" xfId="0" applyBorder="1"/>
    <xf numFmtId="4" fontId="6" fillId="2" borderId="380" xfId="0" applyFont="1" applyFill="1" applyBorder="1" applyAlignment="1">
      <alignment horizontal="center" wrapText="1"/>
    </xf>
    <xf numFmtId="4" fontId="6" fillId="2" borderId="381" xfId="0" applyFont="1" applyFill="1" applyBorder="1" applyAlignment="1">
      <alignment horizontal="center" wrapText="1"/>
    </xf>
    <xf numFmtId="4" fontId="12" fillId="2" borderId="381" xfId="0" applyFont="1" applyFill="1" applyBorder="1" applyAlignment="1">
      <alignment wrapText="1"/>
    </xf>
    <xf numFmtId="4" fontId="13" fillId="3" borderId="381" xfId="0" applyFont="1" applyFill="1" applyBorder="1"/>
    <xf numFmtId="4" fontId="6" fillId="2" borderId="384" xfId="0" applyFont="1" applyFill="1" applyBorder="1" applyAlignment="1">
      <alignment horizontal="center" wrapText="1"/>
    </xf>
    <xf numFmtId="4" fontId="13" fillId="3" borderId="384" xfId="0" applyFont="1" applyFill="1" applyBorder="1"/>
    <xf numFmtId="4" fontId="6" fillId="2" borderId="387" xfId="0" applyFont="1" applyFill="1" applyBorder="1" applyAlignment="1">
      <alignment horizontal="center" wrapText="1"/>
    </xf>
    <xf numFmtId="4" fontId="13" fillId="0" borderId="271" xfId="0" applyFont="1" applyBorder="1"/>
    <xf numFmtId="4" fontId="12" fillId="2" borderId="388" xfId="0" applyFont="1" applyFill="1" applyBorder="1"/>
    <xf numFmtId="4" fontId="0" fillId="0" borderId="96" xfId="0" applyBorder="1"/>
    <xf numFmtId="4" fontId="11" fillId="0" borderId="389" xfId="0" applyFont="1" applyBorder="1"/>
    <xf numFmtId="4" fontId="12" fillId="0" borderId="390" xfId="0" applyFont="1" applyBorder="1"/>
    <xf numFmtId="4" fontId="12" fillId="0" borderId="346" xfId="0" applyFont="1" applyBorder="1" applyAlignment="1">
      <alignment wrapText="1"/>
    </xf>
    <xf numFmtId="4" fontId="12" fillId="0" borderId="392" xfId="0" applyFont="1" applyBorder="1" applyAlignment="1">
      <alignment wrapText="1"/>
    </xf>
    <xf numFmtId="4" fontId="12" fillId="2" borderId="393" xfId="0" applyFont="1" applyFill="1" applyBorder="1"/>
    <xf numFmtId="4" fontId="12" fillId="2" borderId="394" xfId="0" applyFont="1" applyFill="1" applyBorder="1"/>
    <xf numFmtId="4" fontId="6" fillId="2" borderId="396" xfId="0" applyFont="1" applyFill="1" applyBorder="1" applyAlignment="1">
      <alignment horizontal="center" wrapText="1"/>
    </xf>
    <xf numFmtId="4" fontId="13" fillId="0" borderId="392" xfId="0" applyFont="1" applyBorder="1"/>
    <xf numFmtId="4" fontId="12" fillId="2" borderId="397" xfId="0" applyFont="1" applyFill="1" applyBorder="1" applyAlignment="1">
      <alignment wrapText="1"/>
    </xf>
    <xf numFmtId="4" fontId="13" fillId="0" borderId="395" xfId="0" applyFont="1" applyFill="1" applyBorder="1"/>
    <xf numFmtId="165" fontId="13" fillId="0" borderId="392" xfId="1" applyFont="1" applyBorder="1" applyAlignment="1">
      <alignment horizontal="center"/>
    </xf>
    <xf numFmtId="165" fontId="12" fillId="2" borderId="397" xfId="1" applyFont="1" applyFill="1" applyBorder="1" applyAlignment="1">
      <alignment horizontal="center"/>
    </xf>
    <xf numFmtId="4" fontId="13" fillId="0" borderId="398" xfId="0" applyFont="1" applyBorder="1" applyAlignment="1">
      <alignment wrapText="1"/>
    </xf>
    <xf numFmtId="4" fontId="13" fillId="0" borderId="399" xfId="0" applyFont="1" applyBorder="1"/>
    <xf numFmtId="165" fontId="12" fillId="2" borderId="394" xfId="1" applyFont="1" applyFill="1" applyBorder="1" applyAlignment="1">
      <alignment horizontal="center"/>
    </xf>
    <xf numFmtId="4" fontId="12" fillId="0" borderId="18" xfId="0" applyFont="1" applyBorder="1"/>
    <xf numFmtId="4" fontId="6" fillId="2" borderId="400" xfId="0" applyFont="1" applyFill="1" applyBorder="1" applyAlignment="1">
      <alignment horizontal="center" wrapText="1"/>
    </xf>
    <xf numFmtId="4" fontId="13" fillId="0" borderId="401" xfId="0" applyFont="1" applyBorder="1"/>
    <xf numFmtId="4" fontId="6" fillId="2" borderId="402" xfId="0" applyFont="1" applyFill="1" applyBorder="1" applyAlignment="1">
      <alignment horizontal="center" wrapText="1"/>
    </xf>
    <xf numFmtId="4" fontId="13" fillId="0" borderId="403" xfId="0" applyFont="1" applyBorder="1"/>
    <xf numFmtId="4" fontId="6" fillId="2" borderId="405" xfId="0" applyFont="1" applyFill="1" applyBorder="1" applyAlignment="1">
      <alignment horizontal="center" wrapText="1"/>
    </xf>
    <xf numFmtId="4" fontId="13" fillId="0" borderId="358" xfId="0" applyFont="1" applyBorder="1"/>
    <xf numFmtId="4" fontId="12" fillId="2" borderId="394" xfId="0" applyFont="1" applyFill="1" applyBorder="1" applyAlignment="1">
      <alignment wrapText="1"/>
    </xf>
    <xf numFmtId="4" fontId="6" fillId="2" borderId="406" xfId="0" applyFont="1" applyFill="1" applyBorder="1" applyAlignment="1">
      <alignment horizontal="center" wrapText="1"/>
    </xf>
    <xf numFmtId="4" fontId="13" fillId="2" borderId="407" xfId="0" applyFont="1" applyFill="1" applyBorder="1" applyAlignment="1">
      <alignment wrapText="1"/>
    </xf>
    <xf numFmtId="4" fontId="12" fillId="2" borderId="408" xfId="0" applyFont="1" applyFill="1" applyBorder="1" applyAlignment="1">
      <alignment wrapText="1"/>
    </xf>
    <xf numFmtId="4" fontId="12" fillId="2" borderId="32" xfId="0" applyFont="1" applyFill="1" applyBorder="1" applyAlignment="1">
      <alignment wrapText="1"/>
    </xf>
    <xf numFmtId="4" fontId="12" fillId="2" borderId="409" xfId="0" applyFont="1" applyFill="1" applyBorder="1" applyAlignment="1">
      <alignment wrapText="1"/>
    </xf>
    <xf numFmtId="4" fontId="14" fillId="2" borderId="410" xfId="0" applyFont="1" applyFill="1" applyBorder="1" applyAlignment="1">
      <alignment wrapText="1"/>
    </xf>
    <xf numFmtId="4" fontId="14" fillId="2" borderId="411" xfId="0" applyFont="1" applyFill="1" applyBorder="1" applyAlignment="1">
      <alignment wrapText="1"/>
    </xf>
    <xf numFmtId="4" fontId="14" fillId="2" borderId="406" xfId="0" applyFont="1" applyFill="1" applyBorder="1" applyAlignment="1">
      <alignment wrapText="1"/>
    </xf>
    <xf numFmtId="4" fontId="12" fillId="2" borderId="413" xfId="0" applyFont="1" applyFill="1" applyBorder="1" applyAlignment="1">
      <alignment wrapText="1"/>
    </xf>
    <xf numFmtId="4" fontId="12" fillId="2" borderId="379" xfId="0" applyFont="1" applyFill="1" applyBorder="1" applyAlignment="1">
      <alignment wrapText="1"/>
    </xf>
    <xf numFmtId="4" fontId="12" fillId="2" borderId="411" xfId="0" applyFont="1" applyFill="1" applyBorder="1" applyAlignment="1">
      <alignment wrapText="1"/>
    </xf>
    <xf numFmtId="4" fontId="12" fillId="2" borderId="407" xfId="0" applyFont="1" applyFill="1" applyBorder="1" applyAlignment="1">
      <alignment wrapText="1"/>
    </xf>
    <xf numFmtId="4" fontId="14" fillId="2" borderId="414" xfId="0" applyFont="1" applyFill="1" applyBorder="1" applyAlignment="1">
      <alignment wrapText="1"/>
    </xf>
    <xf numFmtId="4" fontId="12" fillId="2" borderId="406" xfId="0" applyFont="1" applyFill="1" applyBorder="1" applyAlignment="1">
      <alignment wrapText="1"/>
    </xf>
    <xf numFmtId="4" fontId="14" fillId="2" borderId="407" xfId="0" applyFont="1" applyFill="1" applyBorder="1" applyAlignment="1">
      <alignment wrapText="1"/>
    </xf>
    <xf numFmtId="4" fontId="14" fillId="2" borderId="409" xfId="0" applyFont="1" applyFill="1" applyBorder="1" applyAlignment="1">
      <alignment wrapText="1"/>
    </xf>
    <xf numFmtId="4" fontId="14" fillId="2" borderId="415" xfId="0" applyFont="1" applyFill="1" applyBorder="1" applyAlignment="1">
      <alignment wrapText="1"/>
    </xf>
    <xf numFmtId="165" fontId="12" fillId="2" borderId="416" xfId="1" applyFont="1" applyFill="1" applyBorder="1" applyAlignment="1">
      <alignment horizontal="center"/>
    </xf>
    <xf numFmtId="4" fontId="14" fillId="2" borderId="22" xfId="0" applyFont="1" applyFill="1" applyBorder="1" applyAlignment="1">
      <alignment wrapText="1"/>
    </xf>
    <xf numFmtId="4" fontId="14" fillId="2" borderId="418" xfId="0" applyFont="1" applyFill="1" applyBorder="1" applyAlignment="1">
      <alignment wrapText="1"/>
    </xf>
    <xf numFmtId="165" fontId="12" fillId="2" borderId="419" xfId="1" applyFont="1" applyFill="1" applyBorder="1" applyAlignment="1">
      <alignment horizontal="center"/>
    </xf>
    <xf numFmtId="4" fontId="12" fillId="2" borderId="420" xfId="0" applyFont="1" applyFill="1" applyBorder="1" applyAlignment="1">
      <alignment wrapText="1"/>
    </xf>
    <xf numFmtId="4" fontId="12" fillId="2" borderId="415" xfId="0" applyFont="1" applyFill="1" applyBorder="1" applyAlignment="1">
      <alignment wrapText="1"/>
    </xf>
    <xf numFmtId="4" fontId="12" fillId="2" borderId="418" xfId="0" applyFont="1" applyFill="1" applyBorder="1" applyAlignment="1">
      <alignment wrapText="1"/>
    </xf>
    <xf numFmtId="4" fontId="14" fillId="2" borderId="421" xfId="0" applyFont="1" applyFill="1" applyBorder="1" applyAlignment="1">
      <alignment wrapText="1"/>
    </xf>
    <xf numFmtId="4" fontId="14" fillId="2" borderId="422" xfId="0" applyFont="1" applyFill="1" applyBorder="1" applyAlignment="1">
      <alignment wrapText="1"/>
    </xf>
    <xf numFmtId="165" fontId="12" fillId="2" borderId="413" xfId="1" applyFont="1" applyFill="1" applyBorder="1" applyAlignment="1">
      <alignment horizontal="center"/>
    </xf>
    <xf numFmtId="4" fontId="12" fillId="2" borderId="424" xfId="0" applyFont="1" applyFill="1" applyBorder="1" applyAlignment="1">
      <alignment wrapText="1"/>
    </xf>
    <xf numFmtId="4" fontId="12" fillId="2" borderId="420" xfId="0" applyFont="1" applyFill="1" applyBorder="1"/>
    <xf numFmtId="4" fontId="12" fillId="2" borderId="419" xfId="0" applyFont="1" applyFill="1" applyBorder="1"/>
    <xf numFmtId="4" fontId="14" fillId="2" borderId="425" xfId="0" applyFont="1" applyFill="1" applyBorder="1" applyAlignment="1">
      <alignment wrapText="1"/>
    </xf>
    <xf numFmtId="0" fontId="14" fillId="2" borderId="411" xfId="2" applyFont="1" applyFill="1" applyBorder="1" applyAlignment="1">
      <alignment wrapText="1"/>
    </xf>
    <xf numFmtId="0" fontId="14" fillId="2" borderId="418" xfId="2" applyFont="1" applyFill="1" applyBorder="1" applyAlignment="1">
      <alignment wrapText="1"/>
    </xf>
    <xf numFmtId="0" fontId="14" fillId="2" borderId="426" xfId="2" applyFont="1" applyFill="1" applyBorder="1" applyAlignment="1">
      <alignment wrapText="1"/>
    </xf>
    <xf numFmtId="4" fontId="14" fillId="2" borderId="427" xfId="0" applyFont="1" applyFill="1" applyBorder="1" applyAlignment="1">
      <alignment wrapText="1"/>
    </xf>
    <xf numFmtId="4" fontId="18" fillId="2" borderId="428" xfId="0" applyFont="1" applyFill="1" applyBorder="1" applyAlignment="1">
      <alignment wrapText="1"/>
    </xf>
    <xf numFmtId="4" fontId="12" fillId="2" borderId="429" xfId="0" applyFont="1" applyFill="1" applyBorder="1"/>
    <xf numFmtId="4" fontId="12" fillId="2" borderId="32" xfId="0" applyFont="1" applyFill="1" applyBorder="1"/>
    <xf numFmtId="4" fontId="12" fillId="2" borderId="426" xfId="0" applyFont="1" applyFill="1" applyBorder="1" applyAlignment="1">
      <alignment wrapText="1"/>
    </xf>
    <xf numFmtId="4" fontId="12" fillId="2" borderId="391" xfId="0" applyFont="1" applyFill="1" applyBorder="1"/>
    <xf numFmtId="4" fontId="14" fillId="2" borderId="431" xfId="0" applyFont="1" applyFill="1" applyBorder="1" applyAlignment="1">
      <alignment wrapText="1"/>
    </xf>
    <xf numFmtId="4" fontId="13" fillId="3" borderId="413" xfId="0" applyFont="1" applyFill="1" applyBorder="1"/>
    <xf numFmtId="4" fontId="14" fillId="0" borderId="432" xfId="0" applyFont="1" applyBorder="1"/>
    <xf numFmtId="165" fontId="14" fillId="0" borderId="13" xfId="8" applyFont="1" applyBorder="1" applyAlignment="1">
      <alignment wrapText="1"/>
    </xf>
    <xf numFmtId="4" fontId="6" fillId="0" borderId="434" xfId="0" applyFont="1" applyBorder="1" applyAlignment="1">
      <alignment wrapText="1"/>
    </xf>
    <xf numFmtId="4" fontId="6" fillId="0" borderId="208" xfId="0" applyFont="1" applyBorder="1" applyAlignment="1">
      <alignment wrapText="1"/>
    </xf>
    <xf numFmtId="4" fontId="6" fillId="0" borderId="209" xfId="0" applyFont="1" applyBorder="1" applyAlignment="1">
      <alignment wrapText="1"/>
    </xf>
    <xf numFmtId="4" fontId="6" fillId="0" borderId="209" xfId="0" applyFont="1" applyBorder="1" applyAlignment="1">
      <alignment horizontal="center" wrapText="1"/>
    </xf>
    <xf numFmtId="4" fontId="6" fillId="0" borderId="210" xfId="0" applyFont="1" applyBorder="1" applyAlignment="1">
      <alignment horizontal="center" wrapText="1"/>
    </xf>
    <xf numFmtId="4" fontId="6" fillId="0" borderId="436" xfId="0" applyFont="1" applyBorder="1" applyAlignment="1">
      <alignment wrapText="1"/>
    </xf>
    <xf numFmtId="4" fontId="6" fillId="0" borderId="437" xfId="0" applyFont="1" applyBorder="1" applyAlignment="1">
      <alignment wrapText="1"/>
    </xf>
    <xf numFmtId="4" fontId="6" fillId="0" borderId="437" xfId="0" applyFont="1" applyBorder="1" applyAlignment="1">
      <alignment horizontal="center" wrapText="1"/>
    </xf>
    <xf numFmtId="4" fontId="6" fillId="0" borderId="438" xfId="0" applyFont="1" applyBorder="1" applyAlignment="1">
      <alignment horizontal="center" wrapText="1"/>
    </xf>
    <xf numFmtId="1" fontId="14" fillId="0" borderId="436" xfId="0" applyNumberFormat="1" applyFont="1" applyBorder="1" applyAlignment="1">
      <alignment wrapText="1"/>
    </xf>
    <xf numFmtId="3" fontId="15" fillId="0" borderId="437" xfId="0" applyNumberFormat="1" applyFont="1" applyBorder="1"/>
    <xf numFmtId="4" fontId="15" fillId="0" borderId="437" xfId="0" applyFont="1" applyBorder="1"/>
    <xf numFmtId="3" fontId="15" fillId="0" borderId="437" xfId="0" applyNumberFormat="1" applyFont="1" applyBorder="1" applyAlignment="1">
      <alignment horizontal="center"/>
    </xf>
    <xf numFmtId="4" fontId="15" fillId="0" borderId="438" xfId="0" applyFont="1" applyBorder="1"/>
    <xf numFmtId="4" fontId="14" fillId="0" borderId="436" xfId="0" applyFont="1" applyBorder="1" applyAlignment="1">
      <alignment wrapText="1"/>
    </xf>
    <xf numFmtId="4" fontId="14" fillId="0" borderId="437" xfId="0" applyFont="1" applyBorder="1" applyAlignment="1">
      <alignment wrapText="1"/>
    </xf>
    <xf numFmtId="4" fontId="14" fillId="0" borderId="438" xfId="0" applyFont="1" applyBorder="1" applyAlignment="1">
      <alignment wrapText="1"/>
    </xf>
    <xf numFmtId="1" fontId="15" fillId="0" borderId="437" xfId="0" applyNumberFormat="1" applyFont="1" applyBorder="1"/>
    <xf numFmtId="4" fontId="13" fillId="0" borderId="438" xfId="0" applyFont="1" applyBorder="1"/>
    <xf numFmtId="1" fontId="12" fillId="2" borderId="436" xfId="0" applyNumberFormat="1" applyFont="1" applyFill="1" applyBorder="1" applyAlignment="1">
      <alignment wrapText="1"/>
    </xf>
    <xf numFmtId="1" fontId="12" fillId="2" borderId="437" xfId="0" applyNumberFormat="1" applyFont="1" applyFill="1" applyBorder="1" applyAlignment="1">
      <alignment wrapText="1"/>
    </xf>
    <xf numFmtId="4" fontId="12" fillId="2" borderId="437" xfId="0" applyFont="1" applyFill="1" applyBorder="1" applyAlignment="1">
      <alignment wrapText="1"/>
    </xf>
    <xf numFmtId="4" fontId="12" fillId="2" borderId="438" xfId="0" applyFont="1" applyFill="1" applyBorder="1" applyAlignment="1">
      <alignment wrapText="1"/>
    </xf>
    <xf numFmtId="1" fontId="15" fillId="0" borderId="436" xfId="0" applyNumberFormat="1" applyFont="1" applyBorder="1"/>
    <xf numFmtId="164" fontId="14" fillId="0" borderId="437" xfId="0" applyNumberFormat="1" applyFont="1" applyBorder="1"/>
    <xf numFmtId="164" fontId="14" fillId="0" borderId="438" xfId="0" applyNumberFormat="1" applyFont="1" applyBorder="1"/>
    <xf numFmtId="1" fontId="14" fillId="0" borderId="436" xfId="0" applyNumberFormat="1" applyFont="1" applyBorder="1"/>
    <xf numFmtId="1" fontId="15" fillId="0" borderId="437" xfId="1" applyNumberFormat="1" applyFont="1" applyBorder="1"/>
    <xf numFmtId="165" fontId="12" fillId="2" borderId="437" xfId="1" applyFont="1" applyFill="1" applyBorder="1"/>
    <xf numFmtId="4" fontId="14" fillId="0" borderId="436" xfId="0" applyFont="1" applyFill="1" applyBorder="1" applyAlignment="1">
      <alignment wrapText="1"/>
    </xf>
    <xf numFmtId="4" fontId="14" fillId="0" borderId="437" xfId="0" applyFont="1" applyFill="1" applyBorder="1" applyAlignment="1">
      <alignment wrapText="1"/>
    </xf>
    <xf numFmtId="4" fontId="14" fillId="0" borderId="438" xfId="0" applyFont="1" applyFill="1" applyBorder="1" applyAlignment="1">
      <alignment wrapText="1"/>
    </xf>
    <xf numFmtId="3" fontId="14" fillId="0" borderId="437" xfId="0" applyNumberFormat="1" applyFont="1" applyFill="1" applyBorder="1" applyAlignment="1">
      <alignment wrapText="1"/>
    </xf>
    <xf numFmtId="1" fontId="12" fillId="0" borderId="436" xfId="0" applyNumberFormat="1" applyFont="1" applyBorder="1" applyAlignment="1">
      <alignment wrapText="1"/>
    </xf>
    <xf numFmtId="165" fontId="12" fillId="2" borderId="436" xfId="1" applyFont="1" applyFill="1" applyBorder="1" applyAlignment="1">
      <alignment horizontal="center"/>
    </xf>
    <xf numFmtId="165" fontId="12" fillId="2" borderId="437" xfId="1" applyFont="1" applyFill="1" applyBorder="1" applyAlignment="1">
      <alignment horizontal="center"/>
    </xf>
    <xf numFmtId="165" fontId="12" fillId="2" borderId="438" xfId="1" applyFont="1" applyFill="1" applyBorder="1" applyAlignment="1">
      <alignment horizontal="center"/>
    </xf>
    <xf numFmtId="165" fontId="15" fillId="0" borderId="438" xfId="1" applyFont="1" applyBorder="1"/>
    <xf numFmtId="4" fontId="14" fillId="2" borderId="437" xfId="0" applyFont="1" applyFill="1" applyBorder="1" applyAlignment="1">
      <alignment wrapText="1"/>
    </xf>
    <xf numFmtId="4" fontId="14" fillId="2" borderId="438" xfId="0" applyFont="1" applyFill="1" applyBorder="1" applyAlignment="1">
      <alignment wrapText="1"/>
    </xf>
    <xf numFmtId="1" fontId="12" fillId="2" borderId="436" xfId="1" applyNumberFormat="1" applyFont="1" applyFill="1" applyBorder="1" applyAlignment="1">
      <alignment horizontal="center"/>
    </xf>
    <xf numFmtId="1" fontId="12" fillId="2" borderId="437" xfId="1" applyNumberFormat="1" applyFont="1" applyFill="1" applyBorder="1" applyAlignment="1">
      <alignment horizontal="center"/>
    </xf>
    <xf numFmtId="1" fontId="13" fillId="0" borderId="437" xfId="0" applyNumberFormat="1" applyFont="1" applyBorder="1"/>
    <xf numFmtId="3" fontId="13" fillId="0" borderId="437" xfId="0" applyNumberFormat="1" applyFont="1" applyBorder="1" applyAlignment="1">
      <alignment horizontal="center"/>
    </xf>
    <xf numFmtId="1" fontId="12" fillId="0" borderId="436" xfId="1" applyNumberFormat="1" applyFont="1" applyBorder="1" applyAlignment="1">
      <alignment horizontal="center"/>
    </xf>
    <xf numFmtId="1" fontId="12" fillId="0" borderId="437" xfId="1" applyNumberFormat="1" applyFont="1" applyBorder="1" applyAlignment="1">
      <alignment horizontal="center"/>
    </xf>
    <xf numFmtId="165" fontId="12" fillId="0" borderId="437" xfId="1" applyFont="1" applyBorder="1" applyAlignment="1">
      <alignment horizontal="center"/>
    </xf>
    <xf numFmtId="165" fontId="12" fillId="0" borderId="438" xfId="1" applyFont="1" applyBorder="1" applyAlignment="1">
      <alignment horizontal="center"/>
    </xf>
    <xf numFmtId="165" fontId="14" fillId="0" borderId="438" xfId="8" applyFont="1" applyBorder="1" applyAlignment="1">
      <alignment wrapText="1"/>
    </xf>
    <xf numFmtId="1" fontId="15" fillId="0" borderId="436" xfId="1" applyNumberFormat="1" applyFont="1" applyBorder="1" applyAlignment="1">
      <alignment horizontal="center"/>
    </xf>
    <xf numFmtId="1" fontId="15" fillId="0" borderId="437" xfId="1" applyNumberFormat="1" applyFont="1" applyBorder="1" applyAlignment="1">
      <alignment horizontal="center"/>
    </xf>
    <xf numFmtId="165" fontId="15" fillId="0" borderId="437" xfId="1" applyFont="1" applyBorder="1" applyAlignment="1">
      <alignment horizontal="center"/>
    </xf>
    <xf numFmtId="165" fontId="14" fillId="0" borderId="437" xfId="1" applyFont="1" applyBorder="1" applyAlignment="1">
      <alignment horizontal="center"/>
    </xf>
    <xf numFmtId="168" fontId="14" fillId="0" borderId="438" xfId="5" applyFont="1" applyBorder="1" applyAlignment="1">
      <alignment wrapText="1"/>
    </xf>
    <xf numFmtId="165" fontId="12" fillId="0" borderId="438" xfId="8" applyFont="1" applyBorder="1" applyAlignment="1">
      <alignment wrapText="1"/>
    </xf>
    <xf numFmtId="4" fontId="14" fillId="0" borderId="438" xfId="0" applyFont="1" applyBorder="1"/>
    <xf numFmtId="1" fontId="14" fillId="4" borderId="436" xfId="1" applyNumberFormat="1" applyFont="1" applyFill="1" applyBorder="1" applyAlignment="1">
      <alignment horizontal="center"/>
    </xf>
    <xf numFmtId="1" fontId="14" fillId="4" borderId="437" xfId="1" applyNumberFormat="1" applyFont="1" applyFill="1" applyBorder="1" applyAlignment="1">
      <alignment horizontal="center"/>
    </xf>
    <xf numFmtId="165" fontId="14" fillId="4" borderId="437" xfId="1" applyFont="1" applyFill="1" applyBorder="1" applyAlignment="1">
      <alignment horizontal="center"/>
    </xf>
    <xf numFmtId="1" fontId="13" fillId="0" borderId="436" xfId="0" applyNumberFormat="1" applyFont="1" applyBorder="1"/>
    <xf numFmtId="1" fontId="15" fillId="0" borderId="437" xfId="1" applyNumberFormat="1" applyFont="1" applyFill="1" applyBorder="1" applyAlignment="1" applyProtection="1"/>
    <xf numFmtId="165" fontId="15" fillId="0" borderId="437" xfId="1" applyFont="1" applyFill="1" applyBorder="1" applyAlignment="1" applyProtection="1"/>
    <xf numFmtId="165" fontId="15" fillId="0" borderId="437" xfId="1" applyFont="1" applyBorder="1"/>
    <xf numFmtId="3" fontId="13" fillId="0" borderId="437" xfId="0" applyNumberFormat="1" applyFont="1" applyBorder="1"/>
    <xf numFmtId="1" fontId="14" fillId="0" borderId="436" xfId="1" applyNumberFormat="1" applyFont="1" applyFill="1" applyBorder="1" applyAlignment="1">
      <alignment horizontal="center"/>
    </xf>
    <xf numFmtId="1" fontId="14" fillId="0" borderId="437" xfId="1" applyNumberFormat="1" applyFont="1" applyFill="1" applyBorder="1" applyAlignment="1">
      <alignment horizontal="center"/>
    </xf>
    <xf numFmtId="165" fontId="14" fillId="0" borderId="437" xfId="1" applyFont="1" applyFill="1" applyBorder="1" applyAlignment="1">
      <alignment horizontal="center"/>
    </xf>
    <xf numFmtId="1" fontId="12" fillId="2" borderId="437" xfId="0" applyNumberFormat="1" applyFont="1" applyFill="1" applyBorder="1"/>
    <xf numFmtId="4" fontId="12" fillId="2" borderId="437" xfId="0" applyFont="1" applyFill="1" applyBorder="1"/>
    <xf numFmtId="4" fontId="12" fillId="2" borderId="438" xfId="0" applyFont="1" applyFill="1" applyBorder="1"/>
    <xf numFmtId="171" fontId="3" fillId="4" borderId="437" xfId="1" applyNumberFormat="1" applyFill="1" applyBorder="1" applyAlignment="1">
      <alignment horizontal="center"/>
    </xf>
    <xf numFmtId="165" fontId="46" fillId="4" borderId="437" xfId="1" applyFont="1" applyFill="1" applyBorder="1" applyAlignment="1">
      <alignment horizontal="center"/>
    </xf>
    <xf numFmtId="4" fontId="13" fillId="0" borderId="437" xfId="0" applyFont="1" applyBorder="1"/>
    <xf numFmtId="168" fontId="13" fillId="0" borderId="438" xfId="5" applyFont="1" applyBorder="1"/>
    <xf numFmtId="168" fontId="15" fillId="0" borderId="437" xfId="5" applyFont="1" applyFill="1" applyBorder="1" applyAlignment="1" applyProtection="1"/>
    <xf numFmtId="168" fontId="15" fillId="0" borderId="438" xfId="5" applyFont="1" applyBorder="1"/>
    <xf numFmtId="1" fontId="12" fillId="2" borderId="436" xfId="0" applyNumberFormat="1" applyFont="1" applyFill="1" applyBorder="1"/>
    <xf numFmtId="1" fontId="14" fillId="0" borderId="436" xfId="0" applyNumberFormat="1" applyFont="1" applyFill="1" applyBorder="1" applyAlignment="1">
      <alignment wrapText="1"/>
    </xf>
    <xf numFmtId="1" fontId="13" fillId="0" borderId="437" xfId="0" applyNumberFormat="1" applyFont="1" applyFill="1" applyBorder="1"/>
    <xf numFmtId="3" fontId="13" fillId="0" borderId="437" xfId="0" applyNumberFormat="1" applyFont="1" applyFill="1" applyBorder="1" applyAlignment="1">
      <alignment horizontal="center"/>
    </xf>
    <xf numFmtId="3" fontId="15" fillId="0" borderId="437" xfId="0" applyNumberFormat="1" applyFont="1" applyFill="1" applyBorder="1"/>
    <xf numFmtId="3" fontId="15" fillId="0" borderId="437" xfId="0" applyNumberFormat="1" applyFont="1" applyFill="1" applyBorder="1" applyAlignment="1">
      <alignment horizontal="center"/>
    </xf>
    <xf numFmtId="1" fontId="13" fillId="0" borderId="436" xfId="0" applyNumberFormat="1" applyFont="1" applyFill="1" applyBorder="1"/>
    <xf numFmtId="4" fontId="12" fillId="0" borderId="437" xfId="0" applyFont="1" applyBorder="1"/>
    <xf numFmtId="4" fontId="12" fillId="0" borderId="438" xfId="0" applyFont="1" applyBorder="1"/>
    <xf numFmtId="1" fontId="12" fillId="0" borderId="436" xfId="0" applyNumberFormat="1" applyFont="1" applyFill="1" applyBorder="1" applyAlignment="1">
      <alignment wrapText="1"/>
    </xf>
    <xf numFmtId="1" fontId="15" fillId="0" borderId="437" xfId="0" applyNumberFormat="1" applyFont="1" applyFill="1" applyBorder="1"/>
    <xf numFmtId="4" fontId="15" fillId="0" borderId="437" xfId="0" applyFont="1" applyFill="1" applyBorder="1"/>
    <xf numFmtId="4" fontId="15" fillId="0" borderId="438" xfId="0" applyFont="1" applyFill="1" applyBorder="1"/>
    <xf numFmtId="1" fontId="13" fillId="3" borderId="436" xfId="0" applyNumberFormat="1" applyFont="1" applyFill="1" applyBorder="1"/>
    <xf numFmtId="1" fontId="13" fillId="3" borderId="437" xfId="0" applyNumberFormat="1" applyFont="1" applyFill="1" applyBorder="1"/>
    <xf numFmtId="4" fontId="13" fillId="3" borderId="437" xfId="0" applyFont="1" applyFill="1" applyBorder="1"/>
    <xf numFmtId="4" fontId="14" fillId="0" borderId="439" xfId="0" applyFont="1" applyBorder="1"/>
    <xf numFmtId="4" fontId="14" fillId="0" borderId="440" xfId="0" applyFont="1" applyBorder="1"/>
    <xf numFmtId="4" fontId="12" fillId="0" borderId="441" xfId="0" applyFont="1" applyBorder="1"/>
    <xf numFmtId="4" fontId="13" fillId="0" borderId="0" xfId="0" applyFont="1" applyBorder="1" applyAlignment="1">
      <alignment wrapText="1"/>
    </xf>
    <xf numFmtId="4" fontId="19" fillId="2" borderId="411" xfId="0" applyFont="1" applyFill="1" applyBorder="1" applyAlignment="1">
      <alignment wrapText="1"/>
    </xf>
    <xf numFmtId="4" fontId="19" fillId="2" borderId="226" xfId="0" applyFont="1" applyFill="1" applyBorder="1" applyAlignment="1">
      <alignment wrapText="1"/>
    </xf>
    <xf numFmtId="4" fontId="19" fillId="2" borderId="354" xfId="0" applyFont="1" applyFill="1" applyBorder="1" applyAlignment="1">
      <alignment wrapText="1"/>
    </xf>
    <xf numFmtId="4" fontId="19" fillId="2" borderId="22" xfId="0" applyFont="1" applyFill="1" applyBorder="1" applyAlignment="1">
      <alignment wrapText="1"/>
    </xf>
    <xf numFmtId="4" fontId="19" fillId="0" borderId="442" xfId="0" applyFont="1" applyBorder="1" applyAlignment="1">
      <alignment wrapText="1"/>
    </xf>
    <xf numFmtId="4" fontId="13" fillId="0" borderId="443" xfId="0" applyFont="1" applyFill="1" applyBorder="1" applyAlignment="1">
      <alignment wrapText="1"/>
    </xf>
    <xf numFmtId="4" fontId="6" fillId="0" borderId="404" xfId="0" applyFont="1" applyBorder="1" applyAlignment="1">
      <alignment wrapText="1"/>
    </xf>
    <xf numFmtId="4" fontId="19" fillId="0" borderId="404" xfId="0" applyFont="1" applyBorder="1" applyAlignment="1">
      <alignment wrapText="1"/>
    </xf>
    <xf numFmtId="4" fontId="13" fillId="0" borderId="235" xfId="0" applyFont="1" applyFill="1" applyBorder="1" applyAlignment="1">
      <alignment wrapText="1"/>
    </xf>
    <xf numFmtId="4" fontId="13" fillId="0" borderId="435" xfId="0" applyFont="1" applyFill="1" applyBorder="1" applyAlignment="1">
      <alignment wrapText="1"/>
    </xf>
    <xf numFmtId="4" fontId="13" fillId="0" borderId="434" xfId="0" applyFont="1" applyBorder="1" applyAlignment="1">
      <alignment wrapText="1"/>
    </xf>
    <xf numFmtId="4" fontId="19" fillId="2" borderId="227" xfId="0" applyFont="1" applyFill="1" applyBorder="1" applyAlignment="1">
      <alignment wrapText="1"/>
    </xf>
    <xf numFmtId="0" fontId="0" fillId="0" borderId="0" xfId="3" applyFont="1"/>
    <xf numFmtId="4" fontId="19" fillId="2" borderId="409" xfId="0" applyFont="1" applyFill="1" applyBorder="1" applyAlignment="1">
      <alignment wrapText="1"/>
    </xf>
    <xf numFmtId="4" fontId="19" fillId="0" borderId="444" xfId="0" applyFont="1" applyBorder="1" applyAlignment="1">
      <alignment wrapText="1"/>
    </xf>
    <xf numFmtId="2" fontId="6" fillId="0" borderId="445" xfId="0" applyNumberFormat="1" applyFont="1" applyBorder="1"/>
    <xf numFmtId="0" fontId="19" fillId="2" borderId="411" xfId="2" applyFont="1" applyFill="1" applyBorder="1" applyAlignment="1">
      <alignment wrapText="1"/>
    </xf>
    <xf numFmtId="4" fontId="19" fillId="2" borderId="431" xfId="0" applyFont="1" applyFill="1" applyBorder="1" applyAlignment="1">
      <alignment wrapText="1"/>
    </xf>
    <xf numFmtId="165" fontId="14" fillId="0" borderId="6" xfId="8" applyFont="1" applyBorder="1" applyAlignment="1">
      <alignment wrapText="1"/>
    </xf>
    <xf numFmtId="4" fontId="19" fillId="0" borderId="422" xfId="0" applyFont="1" applyFill="1" applyBorder="1" applyAlignment="1">
      <alignment wrapText="1"/>
    </xf>
    <xf numFmtId="4" fontId="19" fillId="2" borderId="234" xfId="0" applyFont="1" applyFill="1" applyBorder="1" applyAlignment="1">
      <alignment wrapText="1"/>
    </xf>
    <xf numFmtId="0" fontId="3" fillId="0" borderId="370" xfId="3" applyBorder="1" applyAlignment="1">
      <alignment wrapText="1"/>
    </xf>
    <xf numFmtId="0" fontId="3" fillId="0" borderId="370" xfId="3" applyBorder="1"/>
    <xf numFmtId="0" fontId="6" fillId="0" borderId="434" xfId="3" applyFont="1" applyBorder="1" applyAlignment="1">
      <alignment wrapText="1"/>
    </xf>
    <xf numFmtId="4" fontId="19" fillId="0" borderId="447" xfId="0" applyFont="1" applyBorder="1" applyAlignment="1">
      <alignment wrapText="1"/>
    </xf>
    <xf numFmtId="4" fontId="6" fillId="0" borderId="370" xfId="0" applyFont="1" applyBorder="1" applyAlignment="1">
      <alignment wrapText="1"/>
    </xf>
    <xf numFmtId="165" fontId="13" fillId="0" borderId="435" xfId="1" applyFont="1" applyBorder="1" applyAlignment="1">
      <alignment wrapText="1"/>
    </xf>
    <xf numFmtId="0" fontId="3" fillId="0" borderId="361" xfId="3" applyFill="1" applyBorder="1"/>
    <xf numFmtId="0" fontId="20" fillId="0" borderId="237" xfId="3" applyFont="1" applyFill="1" applyBorder="1" applyAlignment="1">
      <alignment wrapText="1"/>
    </xf>
    <xf numFmtId="0" fontId="23" fillId="5" borderId="237" xfId="3" applyFont="1" applyFill="1" applyBorder="1" applyAlignment="1">
      <alignment horizontal="center" wrapText="1"/>
    </xf>
    <xf numFmtId="3" fontId="13" fillId="0" borderId="208" xfId="0" applyNumberFormat="1" applyFont="1" applyBorder="1" applyAlignment="1">
      <alignment wrapText="1"/>
    </xf>
    <xf numFmtId="4" fontId="12" fillId="3" borderId="209" xfId="0" applyFont="1" applyFill="1" applyBorder="1" applyAlignment="1"/>
    <xf numFmtId="0" fontId="15" fillId="0" borderId="435" xfId="3" applyFont="1" applyBorder="1" applyAlignment="1">
      <alignment horizontal="center"/>
    </xf>
    <xf numFmtId="4" fontId="6" fillId="0" borderId="259" xfId="0" applyFont="1" applyBorder="1" applyAlignment="1">
      <alignment wrapText="1"/>
    </xf>
    <xf numFmtId="165" fontId="15" fillId="0" borderId="433" xfId="1" applyFont="1" applyFill="1" applyBorder="1" applyAlignment="1">
      <alignment horizontal="center"/>
    </xf>
    <xf numFmtId="165" fontId="3" fillId="0" borderId="356" xfId="1" applyBorder="1"/>
    <xf numFmtId="165" fontId="19" fillId="0" borderId="446" xfId="1" applyFont="1" applyBorder="1"/>
    <xf numFmtId="165" fontId="19" fillId="0" borderId="256" xfId="1" applyFont="1" applyBorder="1"/>
    <xf numFmtId="165" fontId="19" fillId="0" borderId="361" xfId="1" applyFont="1" applyBorder="1"/>
    <xf numFmtId="165" fontId="3" fillId="0" borderId="356" xfId="1" applyFill="1" applyBorder="1" applyAlignment="1">
      <alignment wrapText="1"/>
    </xf>
    <xf numFmtId="165" fontId="15" fillId="0" borderId="256" xfId="1" applyFont="1" applyBorder="1" applyAlignment="1">
      <alignment wrapText="1"/>
    </xf>
    <xf numFmtId="165" fontId="3" fillId="0" borderId="256" xfId="1" applyFill="1" applyBorder="1"/>
    <xf numFmtId="165" fontId="3" fillId="0" borderId="256" xfId="1" applyBorder="1"/>
    <xf numFmtId="165" fontId="0" fillId="0" borderId="356" xfId="1" applyFont="1" applyBorder="1"/>
    <xf numFmtId="165" fontId="15" fillId="0" borderId="356" xfId="1" applyFont="1" applyBorder="1" applyAlignment="1">
      <alignment wrapText="1"/>
    </xf>
    <xf numFmtId="4" fontId="6" fillId="0" borderId="233" xfId="0" applyFont="1" applyBorder="1" applyAlignment="1">
      <alignment wrapText="1"/>
    </xf>
    <xf numFmtId="165" fontId="15" fillId="0" borderId="77" xfId="1" applyFont="1" applyBorder="1" applyAlignment="1">
      <alignment wrapText="1"/>
    </xf>
    <xf numFmtId="166" fontId="6" fillId="0" borderId="356" xfId="0" applyNumberFormat="1" applyFont="1" applyBorder="1"/>
    <xf numFmtId="0" fontId="3" fillId="0" borderId="361" xfId="3" applyBorder="1"/>
    <xf numFmtId="4" fontId="13" fillId="0" borderId="448" xfId="0" applyFont="1" applyFill="1" applyBorder="1" applyAlignment="1">
      <alignment wrapText="1"/>
    </xf>
    <xf numFmtId="4" fontId="6" fillId="0" borderId="449" xfId="0" applyFont="1" applyBorder="1"/>
    <xf numFmtId="4" fontId="19" fillId="0" borderId="450" xfId="0" applyFont="1" applyBorder="1" applyAlignment="1">
      <alignment wrapText="1"/>
    </xf>
    <xf numFmtId="0" fontId="3" fillId="0" borderId="237" xfId="3" applyBorder="1" applyAlignment="1">
      <alignment wrapText="1"/>
    </xf>
    <xf numFmtId="0" fontId="3" fillId="0" borderId="237" xfId="3" applyBorder="1"/>
    <xf numFmtId="0" fontId="3" fillId="0" borderId="227" xfId="3" applyBorder="1"/>
    <xf numFmtId="165" fontId="3" fillId="0" borderId="361" xfId="1" applyBorder="1"/>
    <xf numFmtId="0" fontId="13" fillId="15" borderId="434" xfId="3" applyFont="1" applyFill="1" applyBorder="1" applyAlignment="1">
      <alignment wrapText="1"/>
    </xf>
    <xf numFmtId="0" fontId="13" fillId="15" borderId="434" xfId="3" applyFont="1" applyFill="1" applyBorder="1"/>
    <xf numFmtId="164" fontId="13" fillId="15" borderId="433" xfId="3" applyNumberFormat="1" applyFont="1" applyFill="1" applyBorder="1"/>
    <xf numFmtId="4" fontId="19" fillId="0" borderId="444" xfId="0" applyFont="1" applyFill="1" applyBorder="1" applyAlignment="1">
      <alignment wrapText="1"/>
    </xf>
    <xf numFmtId="4" fontId="6" fillId="0" borderId="370" xfId="0" applyFont="1" applyBorder="1"/>
    <xf numFmtId="4" fontId="13" fillId="0" borderId="356" xfId="0" applyFont="1" applyBorder="1"/>
    <xf numFmtId="4" fontId="6" fillId="0" borderId="434" xfId="0" applyFont="1" applyBorder="1"/>
    <xf numFmtId="4" fontId="13" fillId="0" borderId="433" xfId="0" applyFont="1" applyBorder="1"/>
    <xf numFmtId="4" fontId="6" fillId="0" borderId="449" xfId="0" applyFont="1" applyFill="1" applyBorder="1"/>
    <xf numFmtId="4" fontId="13" fillId="3" borderId="209" xfId="0" applyFont="1" applyFill="1" applyBorder="1" applyAlignment="1"/>
    <xf numFmtId="4" fontId="6" fillId="0" borderId="356" xfId="0" applyFont="1" applyBorder="1" applyAlignment="1">
      <alignment wrapText="1"/>
    </xf>
    <xf numFmtId="4" fontId="19" fillId="2" borderId="451" xfId="0" applyFont="1" applyFill="1" applyBorder="1" applyAlignment="1">
      <alignment wrapText="1"/>
    </xf>
    <xf numFmtId="4" fontId="6" fillId="0" borderId="386" xfId="0" applyFont="1" applyFill="1" applyBorder="1" applyAlignment="1">
      <alignment horizontal="center" wrapText="1"/>
    </xf>
    <xf numFmtId="1" fontId="12" fillId="0" borderId="0" xfId="0" applyNumberFormat="1" applyFont="1" applyFill="1" applyBorder="1" applyAlignment="1">
      <alignment wrapText="1"/>
    </xf>
    <xf numFmtId="170" fontId="19" fillId="0" borderId="13" xfId="0" applyNumberFormat="1" applyFont="1" applyBorder="1" applyAlignment="1">
      <alignment horizontal="left"/>
    </xf>
    <xf numFmtId="170" fontId="52" fillId="0" borderId="13" xfId="0" applyNumberFormat="1" applyFont="1" applyBorder="1" applyAlignment="1">
      <alignment horizontal="left"/>
    </xf>
    <xf numFmtId="170" fontId="6" fillId="0" borderId="13" xfId="0" applyNumberFormat="1" applyFont="1" applyBorder="1" applyAlignment="1">
      <alignment horizontal="left"/>
    </xf>
    <xf numFmtId="4" fontId="6" fillId="0" borderId="97" xfId="0" applyFont="1" applyBorder="1" applyAlignment="1">
      <alignment horizontal="left"/>
    </xf>
    <xf numFmtId="4" fontId="13" fillId="0" borderId="222" xfId="0" applyFont="1" applyBorder="1" applyAlignment="1">
      <alignment wrapText="1"/>
    </xf>
    <xf numFmtId="4" fontId="19" fillId="0" borderId="36" xfId="0" applyFont="1" applyBorder="1"/>
    <xf numFmtId="4" fontId="14" fillId="0" borderId="0" xfId="0" applyFont="1" applyBorder="1" applyAlignment="1">
      <alignment wrapText="1"/>
    </xf>
    <xf numFmtId="4" fontId="0" fillId="0" borderId="0" xfId="0" applyBorder="1" applyAlignment="1">
      <alignment wrapText="1"/>
    </xf>
    <xf numFmtId="4" fontId="12" fillId="2" borderId="6" xfId="0" applyFont="1" applyFill="1" applyBorder="1" applyAlignment="1">
      <alignment wrapText="1"/>
    </xf>
    <xf numFmtId="4" fontId="0" fillId="0" borderId="0" xfId="0" applyBorder="1" applyAlignment="1">
      <alignment horizontal="left" wrapText="1"/>
    </xf>
    <xf numFmtId="4" fontId="13" fillId="2" borderId="84" xfId="0" applyFont="1" applyFill="1" applyBorder="1" applyAlignment="1">
      <alignment horizontal="center" wrapText="1"/>
    </xf>
    <xf numFmtId="4" fontId="12" fillId="2" borderId="452" xfId="0" applyFont="1" applyFill="1" applyBorder="1" applyAlignment="1">
      <alignment wrapText="1"/>
    </xf>
    <xf numFmtId="4" fontId="12" fillId="2" borderId="457" xfId="0" applyFont="1" applyFill="1" applyBorder="1" applyAlignment="1">
      <alignment wrapText="1"/>
    </xf>
    <xf numFmtId="4" fontId="6" fillId="0" borderId="0" xfId="0" applyFont="1" applyBorder="1"/>
    <xf numFmtId="4" fontId="14" fillId="2" borderId="458" xfId="0" applyFont="1" applyFill="1" applyBorder="1" applyAlignment="1">
      <alignment wrapText="1"/>
    </xf>
    <xf numFmtId="4" fontId="14" fillId="2" borderId="459" xfId="0" applyFont="1" applyFill="1" applyBorder="1" applyAlignment="1">
      <alignment wrapText="1"/>
    </xf>
    <xf numFmtId="4" fontId="14" fillId="2" borderId="460" xfId="0" applyFont="1" applyFill="1" applyBorder="1" applyAlignment="1">
      <alignment wrapText="1"/>
    </xf>
    <xf numFmtId="4" fontId="14" fillId="2" borderId="461" xfId="0" applyFont="1" applyFill="1" applyBorder="1" applyAlignment="1">
      <alignment wrapText="1"/>
    </xf>
    <xf numFmtId="4" fontId="14" fillId="2" borderId="455" xfId="0" applyFont="1" applyFill="1" applyBorder="1" applyAlignment="1">
      <alignment wrapText="1"/>
    </xf>
    <xf numFmtId="4" fontId="14" fillId="2" borderId="456" xfId="0" applyFont="1" applyFill="1" applyBorder="1" applyAlignment="1">
      <alignment wrapText="1"/>
    </xf>
    <xf numFmtId="4" fontId="14" fillId="2" borderId="462" xfId="0" applyFont="1" applyFill="1" applyBorder="1" applyAlignment="1">
      <alignment wrapText="1"/>
    </xf>
    <xf numFmtId="4" fontId="14" fillId="2" borderId="463" xfId="0" applyFont="1" applyFill="1" applyBorder="1" applyAlignment="1">
      <alignment wrapText="1"/>
    </xf>
    <xf numFmtId="4" fontId="14" fillId="0" borderId="453" xfId="0" applyFont="1" applyBorder="1"/>
    <xf numFmtId="4" fontId="14" fillId="0" borderId="453" xfId="0" applyFont="1" applyBorder="1" applyAlignment="1">
      <alignment wrapText="1"/>
    </xf>
    <xf numFmtId="4" fontId="14" fillId="2" borderId="453" xfId="0" applyFont="1" applyFill="1" applyBorder="1" applyAlignment="1">
      <alignment wrapText="1"/>
    </xf>
    <xf numFmtId="171" fontId="12" fillId="0" borderId="436" xfId="8" applyNumberFormat="1" applyFont="1" applyFill="1" applyBorder="1"/>
    <xf numFmtId="1" fontId="14" fillId="9" borderId="436" xfId="1" applyNumberFormat="1" applyFont="1" applyFill="1" applyBorder="1" applyAlignment="1">
      <alignment horizontal="center"/>
    </xf>
    <xf numFmtId="4" fontId="14" fillId="0" borderId="456" xfId="0" applyFont="1" applyBorder="1"/>
    <xf numFmtId="4" fontId="13" fillId="0" borderId="453" xfId="0" applyFont="1" applyBorder="1"/>
    <xf numFmtId="0" fontId="17" fillId="0" borderId="465" xfId="2" applyFont="1" applyBorder="1" applyAlignment="1">
      <alignment wrapText="1"/>
    </xf>
    <xf numFmtId="168" fontId="14" fillId="2" borderId="455" xfId="5" applyFont="1" applyFill="1" applyBorder="1" applyAlignment="1">
      <alignment wrapText="1"/>
    </xf>
    <xf numFmtId="168" fontId="14" fillId="2" borderId="456" xfId="5" applyFont="1" applyFill="1" applyBorder="1" applyAlignment="1">
      <alignment wrapText="1"/>
    </xf>
    <xf numFmtId="168" fontId="14" fillId="2" borderId="466" xfId="5" applyFont="1" applyFill="1" applyBorder="1" applyAlignment="1">
      <alignment wrapText="1"/>
    </xf>
    <xf numFmtId="168" fontId="14" fillId="2" borderId="454" xfId="5" applyFont="1" applyFill="1" applyBorder="1" applyAlignment="1">
      <alignment wrapText="1"/>
    </xf>
    <xf numFmtId="0" fontId="20" fillId="5" borderId="437" xfId="3" applyFont="1" applyFill="1" applyBorder="1" applyAlignment="1">
      <alignment horizontal="center"/>
    </xf>
    <xf numFmtId="4" fontId="12" fillId="3" borderId="467" xfId="0" applyFont="1" applyFill="1" applyBorder="1" applyAlignment="1"/>
    <xf numFmtId="0" fontId="20" fillId="0" borderId="259" xfId="3" applyFont="1" applyBorder="1" applyAlignment="1">
      <alignment horizontal="center"/>
    </xf>
    <xf numFmtId="4" fontId="13" fillId="0" borderId="468" xfId="0" applyFont="1" applyBorder="1" applyAlignment="1">
      <alignment wrapText="1"/>
    </xf>
    <xf numFmtId="4" fontId="19" fillId="0" borderId="117" xfId="0" applyFont="1" applyBorder="1" applyAlignment="1">
      <alignment wrapText="1"/>
    </xf>
    <xf numFmtId="4" fontId="13" fillId="0" borderId="259" xfId="0" applyFont="1" applyBorder="1" applyAlignment="1">
      <alignment wrapText="1"/>
    </xf>
    <xf numFmtId="4" fontId="6" fillId="0" borderId="468" xfId="0" applyFont="1" applyBorder="1" applyAlignment="1">
      <alignment wrapText="1"/>
    </xf>
    <xf numFmtId="4" fontId="6" fillId="0" borderId="117" xfId="0" applyFont="1" applyBorder="1" applyAlignment="1">
      <alignment wrapText="1"/>
    </xf>
    <xf numFmtId="4" fontId="6" fillId="0" borderId="234" xfId="0" applyFont="1" applyBorder="1" applyAlignment="1">
      <alignment wrapText="1"/>
    </xf>
    <xf numFmtId="4" fontId="6" fillId="0" borderId="227" xfId="0" applyFont="1" applyBorder="1" applyAlignment="1">
      <alignment wrapText="1"/>
    </xf>
    <xf numFmtId="4" fontId="6" fillId="0" borderId="469" xfId="0" applyFont="1" applyBorder="1" applyAlignment="1">
      <alignment wrapText="1"/>
    </xf>
    <xf numFmtId="4" fontId="0" fillId="0" borderId="117" xfId="0" applyBorder="1" applyAlignment="1">
      <alignment wrapText="1"/>
    </xf>
    <xf numFmtId="4" fontId="6" fillId="0" borderId="468" xfId="0" applyFont="1" applyBorder="1"/>
    <xf numFmtId="4" fontId="6" fillId="0" borderId="117" xfId="0" applyFont="1" applyBorder="1"/>
    <xf numFmtId="0" fontId="3" fillId="0" borderId="117" xfId="3" applyBorder="1"/>
    <xf numFmtId="0" fontId="13" fillId="15" borderId="468" xfId="3" applyFont="1" applyFill="1" applyBorder="1"/>
    <xf numFmtId="4" fontId="19" fillId="2" borderId="32" xfId="0" applyFont="1" applyFill="1" applyBorder="1" applyAlignment="1">
      <alignment wrapText="1"/>
    </xf>
    <xf numFmtId="4" fontId="19" fillId="2" borderId="410" xfId="0" applyFont="1" applyFill="1" applyBorder="1" applyAlignment="1">
      <alignment wrapText="1"/>
    </xf>
    <xf numFmtId="4" fontId="19" fillId="2" borderId="412" xfId="0" applyFont="1" applyFill="1" applyBorder="1" applyAlignment="1">
      <alignment wrapText="1"/>
    </xf>
    <xf numFmtId="4" fontId="19" fillId="2" borderId="406" xfId="0" applyFont="1" applyFill="1" applyBorder="1" applyAlignment="1">
      <alignment wrapText="1"/>
    </xf>
    <xf numFmtId="4" fontId="19" fillId="2" borderId="414" xfId="0" applyFont="1" applyFill="1" applyBorder="1" applyAlignment="1">
      <alignment wrapText="1"/>
    </xf>
    <xf numFmtId="4" fontId="19" fillId="2" borderId="415" xfId="0" applyFont="1" applyFill="1" applyBorder="1" applyAlignment="1">
      <alignment wrapText="1"/>
    </xf>
    <xf numFmtId="4" fontId="19" fillId="2" borderId="407" xfId="0" applyFont="1" applyFill="1" applyBorder="1" applyAlignment="1">
      <alignment wrapText="1"/>
    </xf>
    <xf numFmtId="4" fontId="19" fillId="2" borderId="417" xfId="0" applyFont="1" applyFill="1" applyBorder="1" applyAlignment="1">
      <alignment wrapText="1"/>
    </xf>
    <xf numFmtId="4" fontId="19" fillId="2" borderId="418" xfId="0" applyFont="1" applyFill="1" applyBorder="1" applyAlignment="1">
      <alignment wrapText="1"/>
    </xf>
    <xf numFmtId="4" fontId="19" fillId="2" borderId="422" xfId="0" applyFont="1" applyFill="1" applyBorder="1" applyAlignment="1">
      <alignment wrapText="1"/>
    </xf>
    <xf numFmtId="4" fontId="19" fillId="2" borderId="423" xfId="0" applyFont="1" applyFill="1" applyBorder="1" applyAlignment="1">
      <alignment wrapText="1"/>
    </xf>
    <xf numFmtId="4" fontId="6" fillId="0" borderId="238" xfId="0" applyFont="1" applyBorder="1" applyAlignment="1">
      <alignment wrapText="1"/>
    </xf>
    <xf numFmtId="4" fontId="19" fillId="0" borderId="240" xfId="0" applyFont="1" applyBorder="1" applyAlignment="1">
      <alignment wrapText="1"/>
    </xf>
    <xf numFmtId="4" fontId="6" fillId="0" borderId="182" xfId="0" applyFont="1" applyBorder="1" applyAlignment="1">
      <alignment wrapText="1"/>
    </xf>
    <xf numFmtId="4" fontId="19" fillId="0" borderId="313" xfId="6" applyFont="1" applyBorder="1" applyAlignment="1">
      <alignment wrapText="1"/>
    </xf>
    <xf numFmtId="4" fontId="19" fillId="0" borderId="110" xfId="0" applyFont="1" applyBorder="1" applyAlignment="1">
      <alignment wrapText="1"/>
    </xf>
    <xf numFmtId="4" fontId="19" fillId="0" borderId="262" xfId="0" applyFont="1" applyBorder="1" applyAlignment="1">
      <alignment wrapText="1"/>
    </xf>
    <xf numFmtId="4" fontId="19" fillId="0" borderId="157" xfId="0" applyFont="1" applyBorder="1" applyAlignment="1">
      <alignment wrapText="1"/>
    </xf>
    <xf numFmtId="4" fontId="19" fillId="2" borderId="207" xfId="0" applyFont="1" applyFill="1" applyBorder="1" applyAlignment="1">
      <alignment wrapText="1"/>
    </xf>
    <xf numFmtId="4" fontId="19" fillId="2" borderId="425" xfId="0" applyFont="1" applyFill="1" applyBorder="1" applyAlignment="1">
      <alignment wrapText="1"/>
    </xf>
    <xf numFmtId="0" fontId="19" fillId="2" borderId="418" xfId="2" applyFont="1" applyFill="1" applyBorder="1" applyAlignment="1">
      <alignment wrapText="1"/>
    </xf>
    <xf numFmtId="0" fontId="19" fillId="2" borderId="426" xfId="2" applyFont="1" applyFill="1" applyBorder="1" applyAlignment="1">
      <alignment wrapText="1"/>
    </xf>
    <xf numFmtId="168" fontId="19" fillId="2" borderId="466" xfId="5" applyFont="1" applyFill="1" applyBorder="1" applyAlignment="1">
      <alignment wrapText="1"/>
    </xf>
    <xf numFmtId="4" fontId="19" fillId="2" borderId="421" xfId="0" applyFont="1" applyFill="1" applyBorder="1" applyAlignment="1">
      <alignment wrapText="1"/>
    </xf>
    <xf numFmtId="4" fontId="19" fillId="2" borderId="427" xfId="0" applyFont="1" applyFill="1" applyBorder="1" applyAlignment="1">
      <alignment wrapText="1"/>
    </xf>
    <xf numFmtId="4" fontId="19" fillId="2" borderId="430" xfId="0" applyFont="1" applyFill="1" applyBorder="1" applyAlignment="1">
      <alignment wrapText="1"/>
    </xf>
    <xf numFmtId="4" fontId="19" fillId="2" borderId="463" xfId="0" applyFont="1" applyFill="1" applyBorder="1" applyAlignment="1">
      <alignment wrapText="1"/>
    </xf>
    <xf numFmtId="4" fontId="19" fillId="2" borderId="461" xfId="0" applyFont="1" applyFill="1" applyBorder="1" applyAlignment="1">
      <alignment wrapText="1"/>
    </xf>
    <xf numFmtId="4" fontId="19" fillId="2" borderId="450" xfId="0" applyFont="1" applyFill="1" applyBorder="1" applyAlignment="1">
      <alignment wrapText="1"/>
    </xf>
    <xf numFmtId="4" fontId="19" fillId="2" borderId="470" xfId="0" applyFont="1" applyFill="1" applyBorder="1" applyAlignment="1">
      <alignment wrapText="1"/>
    </xf>
    <xf numFmtId="165" fontId="0" fillId="5" borderId="237" xfId="1" applyFont="1" applyFill="1" applyBorder="1" applyAlignment="1">
      <alignment horizontal="center" wrapText="1"/>
    </xf>
    <xf numFmtId="4" fontId="6" fillId="0" borderId="366" xfId="0" applyFont="1" applyFill="1" applyBorder="1" applyAlignment="1">
      <alignment vertical="center" wrapText="1"/>
    </xf>
    <xf numFmtId="4" fontId="6" fillId="0" borderId="471" xfId="0" applyFont="1" applyBorder="1"/>
    <xf numFmtId="4" fontId="19" fillId="0" borderId="242" xfId="0" applyFont="1" applyBorder="1"/>
    <xf numFmtId="4" fontId="19" fillId="0" borderId="472" xfId="0" applyFont="1" applyBorder="1"/>
    <xf numFmtId="4" fontId="19" fillId="0" borderId="473" xfId="0" applyFont="1" applyBorder="1"/>
    <xf numFmtId="4" fontId="19" fillId="0" borderId="237" xfId="0" applyFont="1" applyBorder="1"/>
    <xf numFmtId="4" fontId="13" fillId="0" borderId="434" xfId="0" applyFont="1" applyBorder="1"/>
    <xf numFmtId="4" fontId="6" fillId="0" borderId="0" xfId="0" applyFont="1" applyBorder="1" applyAlignment="1">
      <alignment horizontal="center"/>
    </xf>
    <xf numFmtId="9" fontId="13" fillId="0" borderId="0" xfId="0" applyNumberFormat="1" applyFont="1" applyBorder="1"/>
    <xf numFmtId="4" fontId="13" fillId="0" borderId="435" xfId="0" applyFont="1" applyBorder="1"/>
    <xf numFmtId="3" fontId="13" fillId="0" borderId="38" xfId="0" applyNumberFormat="1" applyFont="1" applyFill="1" applyBorder="1"/>
    <xf numFmtId="4" fontId="12" fillId="3" borderId="483" xfId="0" applyFont="1" applyFill="1" applyBorder="1" applyAlignment="1"/>
    <xf numFmtId="4" fontId="19" fillId="2" borderId="0" xfId="0" applyFont="1" applyFill="1" applyBorder="1" applyAlignment="1">
      <alignment wrapText="1"/>
    </xf>
    <xf numFmtId="4" fontId="19" fillId="0" borderId="484" xfId="0" applyFont="1" applyBorder="1" applyAlignment="1">
      <alignment wrapText="1"/>
    </xf>
    <xf numFmtId="4" fontId="19" fillId="2" borderId="485" xfId="0" applyFont="1" applyFill="1" applyBorder="1" applyAlignment="1">
      <alignment wrapText="1"/>
    </xf>
    <xf numFmtId="4" fontId="19" fillId="2" borderId="486" xfId="0" applyFont="1" applyFill="1" applyBorder="1" applyAlignment="1">
      <alignment wrapText="1"/>
    </xf>
    <xf numFmtId="4" fontId="19" fillId="2" borderId="487" xfId="0" applyFont="1" applyFill="1" applyBorder="1" applyAlignment="1">
      <alignment wrapText="1"/>
    </xf>
    <xf numFmtId="4" fontId="19" fillId="2" borderId="488" xfId="0" applyFont="1" applyFill="1" applyBorder="1" applyAlignment="1">
      <alignment wrapText="1"/>
    </xf>
    <xf numFmtId="4" fontId="19" fillId="2" borderId="469" xfId="0" applyFont="1" applyFill="1" applyBorder="1" applyAlignment="1">
      <alignment wrapText="1"/>
    </xf>
    <xf numFmtId="4" fontId="19" fillId="2" borderId="479" xfId="0" applyFont="1" applyFill="1" applyBorder="1" applyAlignment="1">
      <alignment wrapText="1"/>
    </xf>
    <xf numFmtId="4" fontId="19" fillId="2" borderId="477" xfId="0" applyFont="1" applyFill="1" applyBorder="1" applyAlignment="1">
      <alignment wrapText="1"/>
    </xf>
    <xf numFmtId="4" fontId="19" fillId="2" borderId="489" xfId="0" applyFont="1" applyFill="1" applyBorder="1" applyAlignment="1">
      <alignment wrapText="1"/>
    </xf>
    <xf numFmtId="4" fontId="19" fillId="2" borderId="490" xfId="0" applyFont="1" applyFill="1" applyBorder="1" applyAlignment="1">
      <alignment wrapText="1"/>
    </xf>
    <xf numFmtId="4" fontId="6" fillId="0" borderId="484" xfId="0" applyFont="1" applyBorder="1" applyAlignment="1">
      <alignment wrapText="1"/>
    </xf>
    <xf numFmtId="4" fontId="19" fillId="2" borderId="491" xfId="0" applyFont="1" applyFill="1" applyBorder="1" applyAlignment="1">
      <alignment wrapText="1"/>
    </xf>
    <xf numFmtId="4" fontId="19" fillId="2" borderId="492" xfId="0" applyFont="1" applyFill="1" applyBorder="1" applyAlignment="1">
      <alignment wrapText="1"/>
    </xf>
    <xf numFmtId="4" fontId="6" fillId="0" borderId="32" xfId="0" applyFont="1" applyBorder="1" applyAlignment="1">
      <alignment wrapText="1"/>
    </xf>
    <xf numFmtId="4" fontId="0" fillId="0" borderId="484" xfId="0" applyBorder="1" applyAlignment="1">
      <alignment wrapText="1"/>
    </xf>
    <xf numFmtId="4" fontId="6" fillId="0" borderId="484" xfId="0" applyFont="1" applyBorder="1"/>
    <xf numFmtId="0" fontId="3" fillId="0" borderId="484" xfId="3" applyBorder="1"/>
    <xf numFmtId="4" fontId="19" fillId="0" borderId="437" xfId="0" applyFont="1" applyBorder="1" applyAlignment="1">
      <alignment wrapText="1"/>
    </xf>
    <xf numFmtId="4" fontId="19" fillId="0" borderId="493" xfId="0" applyFont="1" applyBorder="1" applyAlignment="1">
      <alignment wrapText="1"/>
    </xf>
    <xf numFmtId="4" fontId="19" fillId="0" borderId="494" xfId="0" applyFont="1" applyBorder="1" applyAlignment="1">
      <alignment wrapText="1"/>
    </xf>
    <xf numFmtId="4" fontId="6" fillId="0" borderId="480" xfId="0" applyFont="1" applyFill="1" applyBorder="1"/>
    <xf numFmtId="4" fontId="0" fillId="0" borderId="480" xfId="0" applyBorder="1"/>
    <xf numFmtId="4" fontId="14" fillId="0" borderId="497" xfId="0" applyFont="1" applyBorder="1" applyAlignment="1">
      <alignment wrapText="1"/>
    </xf>
    <xf numFmtId="4" fontId="6" fillId="2" borderId="498" xfId="0" applyFont="1" applyFill="1" applyBorder="1" applyAlignment="1">
      <alignment horizontal="center" wrapText="1"/>
    </xf>
    <xf numFmtId="4" fontId="14" fillId="0" borderId="238" xfId="0" applyFont="1" applyFill="1" applyBorder="1" applyAlignment="1">
      <alignment wrapText="1"/>
    </xf>
    <xf numFmtId="4" fontId="14" fillId="0" borderId="499" xfId="0" applyFont="1" applyBorder="1" applyAlignment="1">
      <alignment wrapText="1"/>
    </xf>
    <xf numFmtId="4" fontId="12" fillId="2" borderId="478" xfId="0" applyFont="1" applyFill="1" applyBorder="1" applyAlignment="1">
      <alignment wrapText="1"/>
    </xf>
    <xf numFmtId="4" fontId="12" fillId="0" borderId="453" xfId="0" applyFont="1" applyBorder="1"/>
    <xf numFmtId="4" fontId="14" fillId="0" borderId="465" xfId="0" applyFont="1" applyBorder="1" applyAlignment="1">
      <alignment wrapText="1"/>
    </xf>
    <xf numFmtId="49" fontId="12" fillId="0" borderId="496" xfId="6" applyNumberFormat="1" applyFont="1" applyBorder="1"/>
    <xf numFmtId="4" fontId="0" fillId="0" borderId="478" xfId="0" applyBorder="1"/>
    <xf numFmtId="4" fontId="14" fillId="0" borderId="499" xfId="6" applyFont="1" applyBorder="1" applyAlignment="1">
      <alignment wrapText="1"/>
    </xf>
    <xf numFmtId="49" fontId="13" fillId="0" borderId="496" xfId="6" applyNumberFormat="1" applyFont="1" applyBorder="1" applyAlignment="1">
      <alignment wrapText="1"/>
    </xf>
    <xf numFmtId="4" fontId="13" fillId="0" borderId="453" xfId="0" applyFont="1" applyBorder="1" applyAlignment="1">
      <alignment wrapText="1"/>
    </xf>
    <xf numFmtId="49" fontId="13" fillId="0" borderId="501" xfId="6" applyNumberFormat="1" applyFont="1" applyBorder="1" applyAlignment="1">
      <alignment wrapText="1"/>
    </xf>
    <xf numFmtId="49" fontId="13" fillId="0" borderId="502" xfId="6" applyNumberFormat="1" applyFont="1" applyBorder="1"/>
    <xf numFmtId="4" fontId="14" fillId="0" borderId="497" xfId="0" applyFont="1" applyBorder="1" applyAlignment="1">
      <alignment horizontal="left" wrapText="1"/>
    </xf>
    <xf numFmtId="4" fontId="14" fillId="0" borderId="497" xfId="0" applyFont="1" applyBorder="1" applyAlignment="1">
      <alignment horizontal="center" wrapText="1"/>
    </xf>
    <xf numFmtId="0" fontId="14" fillId="0" borderId="499" xfId="2" applyFont="1" applyBorder="1" applyAlignment="1">
      <alignment wrapText="1"/>
    </xf>
    <xf numFmtId="4" fontId="6" fillId="2" borderId="504" xfId="0" applyFont="1" applyFill="1" applyBorder="1" applyAlignment="1">
      <alignment horizontal="center" wrapText="1"/>
    </xf>
    <xf numFmtId="4" fontId="14" fillId="0" borderId="505" xfId="0" applyFont="1" applyBorder="1" applyAlignment="1">
      <alignment wrapText="1"/>
    </xf>
    <xf numFmtId="4" fontId="14" fillId="0" borderId="505" xfId="0" applyFont="1" applyFill="1" applyBorder="1" applyAlignment="1">
      <alignment wrapText="1"/>
    </xf>
    <xf numFmtId="4" fontId="14" fillId="0" borderId="506" xfId="0" applyFont="1" applyBorder="1" applyAlignment="1">
      <alignment wrapText="1"/>
    </xf>
    <xf numFmtId="4" fontId="14" fillId="0" borderId="481" xfId="0" applyFont="1" applyBorder="1" applyAlignment="1">
      <alignment wrapText="1"/>
    </xf>
    <xf numFmtId="4" fontId="14" fillId="0" borderId="509" xfId="0" applyFont="1" applyBorder="1" applyAlignment="1">
      <alignment wrapText="1"/>
    </xf>
    <xf numFmtId="4" fontId="12" fillId="0" borderId="506" xfId="0" applyFont="1" applyBorder="1" applyAlignment="1">
      <alignment wrapText="1"/>
    </xf>
    <xf numFmtId="4" fontId="12" fillId="3" borderId="505" xfId="0" applyFont="1" applyFill="1" applyBorder="1"/>
    <xf numFmtId="4" fontId="14" fillId="0" borderId="511" xfId="0" applyFont="1" applyBorder="1" applyAlignment="1">
      <alignment wrapText="1"/>
    </xf>
    <xf numFmtId="4" fontId="12" fillId="0" borderId="512" xfId="0" applyFont="1" applyBorder="1" applyAlignment="1">
      <alignment wrapText="1"/>
    </xf>
    <xf numFmtId="4" fontId="12" fillId="0" borderId="465" xfId="0" applyFont="1" applyBorder="1" applyAlignment="1">
      <alignment wrapText="1"/>
    </xf>
    <xf numFmtId="3" fontId="12" fillId="0" borderId="506" xfId="0" applyNumberFormat="1" applyFont="1" applyBorder="1" applyAlignment="1">
      <alignment wrapText="1"/>
    </xf>
    <xf numFmtId="165" fontId="12" fillId="0" borderId="506" xfId="1" applyFont="1" applyBorder="1" applyAlignment="1">
      <alignment horizontal="center"/>
    </xf>
    <xf numFmtId="4" fontId="14" fillId="0" borderId="505" xfId="6" applyFont="1" applyBorder="1" applyAlignment="1">
      <alignment wrapText="1"/>
    </xf>
    <xf numFmtId="4" fontId="12" fillId="3" borderId="514" xfId="0" applyFont="1" applyFill="1" applyBorder="1"/>
    <xf numFmtId="4" fontId="14" fillId="0" borderId="492" xfId="0" applyFont="1" applyBorder="1" applyAlignment="1">
      <alignment wrapText="1"/>
    </xf>
    <xf numFmtId="4" fontId="14" fillId="0" borderId="515" xfId="0" applyFont="1" applyBorder="1" applyAlignment="1">
      <alignment wrapText="1"/>
    </xf>
    <xf numFmtId="4" fontId="14" fillId="0" borderId="464" xfId="0" applyFont="1" applyBorder="1" applyAlignment="1">
      <alignment wrapText="1"/>
    </xf>
    <xf numFmtId="0" fontId="14" fillId="0" borderId="505" xfId="2" applyFont="1" applyBorder="1" applyAlignment="1">
      <alignment wrapText="1"/>
    </xf>
    <xf numFmtId="0" fontId="14" fillId="0" borderId="508" xfId="2" applyFont="1" applyBorder="1" applyAlignment="1">
      <alignment wrapText="1"/>
    </xf>
    <xf numFmtId="4" fontId="12" fillId="0" borderId="492" xfId="0" applyFont="1" applyBorder="1" applyAlignment="1">
      <alignment wrapText="1"/>
    </xf>
    <xf numFmtId="4" fontId="12" fillId="0" borderId="516" xfId="0" applyFont="1" applyBorder="1" applyAlignment="1">
      <alignment wrapText="1"/>
    </xf>
    <xf numFmtId="4" fontId="14" fillId="0" borderId="516" xfId="0" applyFont="1" applyFill="1" applyBorder="1" applyAlignment="1">
      <alignment wrapText="1"/>
    </xf>
    <xf numFmtId="4" fontId="14" fillId="0" borderId="518" xfId="0" applyFont="1" applyFill="1" applyBorder="1" applyAlignment="1">
      <alignment wrapText="1"/>
    </xf>
    <xf numFmtId="4" fontId="14" fillId="0" borderId="508" xfId="0" applyFont="1" applyFill="1" applyBorder="1" applyAlignment="1">
      <alignment wrapText="1"/>
    </xf>
    <xf numFmtId="4" fontId="14" fillId="0" borderId="511" xfId="0" applyFont="1" applyFill="1" applyBorder="1" applyAlignment="1">
      <alignment wrapText="1"/>
    </xf>
    <xf numFmtId="4" fontId="14" fillId="0" borderId="465" xfId="0" applyFont="1" applyFill="1" applyBorder="1" applyAlignment="1">
      <alignment wrapText="1"/>
    </xf>
    <xf numFmtId="4" fontId="14" fillId="0" borderId="519" xfId="0" applyFont="1" applyBorder="1"/>
    <xf numFmtId="4" fontId="14" fillId="0" borderId="465" xfId="0" applyFont="1" applyBorder="1"/>
    <xf numFmtId="4" fontId="12" fillId="3" borderId="520" xfId="0" applyFont="1" applyFill="1" applyBorder="1"/>
    <xf numFmtId="4" fontId="0" fillId="0" borderId="521" xfId="0" applyBorder="1"/>
    <xf numFmtId="4" fontId="0" fillId="0" borderId="522" xfId="0" applyBorder="1"/>
    <xf numFmtId="4" fontId="11" fillId="0" borderId="523" xfId="0" applyFont="1" applyBorder="1"/>
    <xf numFmtId="4" fontId="14" fillId="0" borderId="524" xfId="0" applyFont="1" applyBorder="1" applyAlignment="1">
      <alignment wrapText="1"/>
    </xf>
    <xf numFmtId="4" fontId="0" fillId="0" borderId="524" xfId="0" applyBorder="1" applyAlignment="1">
      <alignment wrapText="1"/>
    </xf>
    <xf numFmtId="4" fontId="12" fillId="0" borderId="525" xfId="0" applyFont="1" applyBorder="1" applyAlignment="1">
      <alignment wrapText="1"/>
    </xf>
    <xf numFmtId="4" fontId="12" fillId="3" borderId="510" xfId="0" applyFont="1" applyFill="1" applyBorder="1"/>
    <xf numFmtId="165" fontId="12" fillId="0" borderId="525" xfId="1" applyFont="1" applyBorder="1" applyAlignment="1">
      <alignment horizontal="center"/>
    </xf>
    <xf numFmtId="4" fontId="0" fillId="0" borderId="526" xfId="0" applyBorder="1" applyAlignment="1">
      <alignment wrapText="1"/>
    </xf>
    <xf numFmtId="4" fontId="0" fillId="0" borderId="503" xfId="0" applyBorder="1" applyAlignment="1">
      <alignment wrapText="1"/>
    </xf>
    <xf numFmtId="4" fontId="0" fillId="0" borderId="527" xfId="0" applyBorder="1" applyAlignment="1">
      <alignment wrapText="1"/>
    </xf>
    <xf numFmtId="4" fontId="14" fillId="0" borderId="526" xfId="0" applyFont="1" applyBorder="1" applyAlignment="1">
      <alignment wrapText="1"/>
    </xf>
    <xf numFmtId="4" fontId="14" fillId="0" borderId="503" xfId="0" applyFont="1" applyBorder="1" applyAlignment="1">
      <alignment wrapText="1"/>
    </xf>
    <xf numFmtId="4" fontId="14" fillId="0" borderId="527" xfId="0" applyFont="1" applyBorder="1" applyAlignment="1">
      <alignment wrapText="1"/>
    </xf>
    <xf numFmtId="4" fontId="12" fillId="0" borderId="526" xfId="0" applyFont="1" applyBorder="1" applyAlignment="1">
      <alignment wrapText="1"/>
    </xf>
    <xf numFmtId="4" fontId="12" fillId="0" borderId="503" xfId="0" applyFont="1" applyBorder="1" applyAlignment="1">
      <alignment wrapText="1"/>
    </xf>
    <xf numFmtId="4" fontId="12" fillId="3" borderId="526" xfId="0" applyFont="1" applyFill="1" applyBorder="1"/>
    <xf numFmtId="4" fontId="12" fillId="3" borderId="503" xfId="0" applyFont="1" applyFill="1" applyBorder="1"/>
    <xf numFmtId="4" fontId="12" fillId="3" borderId="527" xfId="0" applyFont="1" applyFill="1" applyBorder="1"/>
    <xf numFmtId="4" fontId="0" fillId="0" borderId="528" xfId="0" applyBorder="1"/>
    <xf numFmtId="4" fontId="0" fillId="0" borderId="529" xfId="0" applyBorder="1"/>
    <xf numFmtId="4" fontId="0" fillId="0" borderId="530" xfId="0" applyBorder="1"/>
    <xf numFmtId="4" fontId="14" fillId="0" borderId="533" xfId="0" applyFont="1" applyBorder="1" applyAlignment="1">
      <alignment wrapText="1"/>
    </xf>
    <xf numFmtId="4" fontId="13" fillId="3" borderId="531" xfId="0" applyFont="1" applyFill="1" applyBorder="1"/>
    <xf numFmtId="4" fontId="13" fillId="3" borderId="532" xfId="0" applyFont="1" applyFill="1" applyBorder="1"/>
    <xf numFmtId="4" fontId="13" fillId="3" borderId="533" xfId="0" applyFont="1" applyFill="1" applyBorder="1"/>
    <xf numFmtId="4" fontId="14" fillId="0" borderId="86" xfId="0" applyFont="1" applyBorder="1"/>
    <xf numFmtId="4" fontId="14" fillId="0" borderId="87" xfId="0" applyFont="1" applyBorder="1"/>
    <xf numFmtId="4" fontId="14" fillId="0" borderId="531" xfId="0" applyFont="1" applyBorder="1"/>
    <xf numFmtId="4" fontId="14" fillId="0" borderId="532" xfId="0" applyFont="1" applyBorder="1"/>
    <xf numFmtId="4" fontId="14" fillId="0" borderId="533" xfId="0" applyFont="1" applyBorder="1"/>
    <xf numFmtId="4" fontId="12" fillId="0" borderId="528" xfId="0" applyFont="1" applyBorder="1" applyAlignment="1">
      <alignment wrapText="1"/>
    </xf>
    <xf numFmtId="4" fontId="12" fillId="0" borderId="529" xfId="0" applyFont="1" applyBorder="1" applyAlignment="1">
      <alignment wrapText="1"/>
    </xf>
    <xf numFmtId="4" fontId="12" fillId="0" borderId="530" xfId="0" applyFont="1" applyBorder="1" applyAlignment="1">
      <alignment wrapText="1"/>
    </xf>
    <xf numFmtId="4" fontId="12" fillId="0" borderId="531" xfId="0" applyFont="1" applyBorder="1" applyAlignment="1">
      <alignment wrapText="1"/>
    </xf>
    <xf numFmtId="4" fontId="12" fillId="0" borderId="532" xfId="0" applyFont="1" applyBorder="1" applyAlignment="1">
      <alignment wrapText="1"/>
    </xf>
    <xf numFmtId="4" fontId="12" fillId="0" borderId="533" xfId="0" applyFont="1" applyBorder="1" applyAlignment="1">
      <alignment wrapText="1"/>
    </xf>
    <xf numFmtId="165" fontId="12" fillId="0" borderId="531" xfId="1" applyFont="1" applyBorder="1" applyAlignment="1">
      <alignment horizontal="center"/>
    </xf>
    <xf numFmtId="165" fontId="12" fillId="0" borderId="532" xfId="1" applyFont="1" applyBorder="1" applyAlignment="1">
      <alignment horizontal="center"/>
    </xf>
    <xf numFmtId="165" fontId="12" fillId="0" borderId="533" xfId="1" applyFont="1" applyBorder="1" applyAlignment="1">
      <alignment horizontal="center"/>
    </xf>
    <xf numFmtId="4" fontId="14" fillId="0" borderId="528" xfId="0" applyFont="1" applyBorder="1" applyAlignment="1">
      <alignment wrapText="1"/>
    </xf>
    <xf numFmtId="4" fontId="14" fillId="0" borderId="529" xfId="0" applyFont="1" applyBorder="1" applyAlignment="1">
      <alignment wrapText="1"/>
    </xf>
    <xf numFmtId="4" fontId="14" fillId="0" borderId="530" xfId="0" applyFont="1" applyBorder="1" applyAlignment="1">
      <alignment wrapText="1"/>
    </xf>
    <xf numFmtId="4" fontId="0" fillId="0" borderId="528" xfId="0" applyBorder="1" applyAlignment="1">
      <alignment wrapText="1"/>
    </xf>
    <xf numFmtId="4" fontId="0" fillId="0" borderId="529" xfId="0" applyBorder="1" applyAlignment="1">
      <alignment wrapText="1"/>
    </xf>
    <xf numFmtId="4" fontId="0" fillId="0" borderId="530" xfId="0" applyBorder="1" applyAlignment="1">
      <alignment wrapText="1"/>
    </xf>
    <xf numFmtId="4" fontId="12" fillId="2" borderId="531" xfId="0" applyFont="1" applyFill="1" applyBorder="1" applyAlignment="1">
      <alignment wrapText="1"/>
    </xf>
    <xf numFmtId="4" fontId="12" fillId="2" borderId="532" xfId="0" applyFont="1" applyFill="1" applyBorder="1" applyAlignment="1">
      <alignment wrapText="1"/>
    </xf>
    <xf numFmtId="4" fontId="12" fillId="2" borderId="533" xfId="0" applyFont="1" applyFill="1" applyBorder="1" applyAlignment="1">
      <alignment wrapText="1"/>
    </xf>
    <xf numFmtId="4" fontId="13" fillId="3" borderId="534" xfId="0" applyFont="1" applyFill="1" applyBorder="1"/>
    <xf numFmtId="4" fontId="13" fillId="0" borderId="529" xfId="0" applyFont="1" applyFill="1" applyBorder="1"/>
    <xf numFmtId="4" fontId="14" fillId="0" borderId="516" xfId="0" applyFont="1" applyBorder="1" applyAlignment="1">
      <alignment wrapText="1"/>
    </xf>
    <xf numFmtId="4" fontId="13" fillId="0" borderId="503" xfId="0" applyFont="1" applyFill="1" applyBorder="1"/>
    <xf numFmtId="4" fontId="6" fillId="2" borderId="536" xfId="0" applyFont="1" applyFill="1" applyBorder="1" applyAlignment="1">
      <alignment horizontal="center" wrapText="1"/>
    </xf>
    <xf numFmtId="4" fontId="6" fillId="2" borderId="537" xfId="0" applyFont="1" applyFill="1" applyBorder="1" applyAlignment="1">
      <alignment horizontal="center" wrapText="1"/>
    </xf>
    <xf numFmtId="4" fontId="14" fillId="0" borderId="538" xfId="0" applyFont="1" applyBorder="1" applyAlignment="1">
      <alignment wrapText="1"/>
    </xf>
    <xf numFmtId="4" fontId="14" fillId="0" borderId="539" xfId="0" applyFont="1" applyBorder="1" applyAlignment="1">
      <alignment wrapText="1"/>
    </xf>
    <xf numFmtId="4" fontId="14" fillId="0" borderId="540" xfId="0" applyFont="1" applyBorder="1" applyAlignment="1">
      <alignment wrapText="1"/>
    </xf>
    <xf numFmtId="4" fontId="14" fillId="0" borderId="541" xfId="0" applyFont="1" applyBorder="1" applyAlignment="1">
      <alignment wrapText="1"/>
    </xf>
    <xf numFmtId="4" fontId="6" fillId="2" borderId="542" xfId="0" applyFont="1" applyFill="1" applyBorder="1" applyAlignment="1">
      <alignment horizontal="center" wrapText="1"/>
    </xf>
    <xf numFmtId="4" fontId="0" fillId="0" borderId="544" xfId="0" applyBorder="1" applyAlignment="1">
      <alignment wrapText="1"/>
    </xf>
    <xf numFmtId="4" fontId="6" fillId="2" borderId="548" xfId="0" applyFont="1" applyFill="1" applyBorder="1" applyAlignment="1">
      <alignment horizontal="center" wrapText="1"/>
    </xf>
    <xf numFmtId="4" fontId="14" fillId="2" borderId="545" xfId="0" applyFont="1" applyFill="1" applyBorder="1" applyAlignment="1">
      <alignment wrapText="1"/>
    </xf>
    <xf numFmtId="4" fontId="14" fillId="2" borderId="549" xfId="0" applyFont="1" applyFill="1" applyBorder="1" applyAlignment="1">
      <alignment wrapText="1"/>
    </xf>
    <xf numFmtId="4" fontId="14" fillId="0" borderId="544" xfId="0" applyFont="1" applyBorder="1" applyAlignment="1">
      <alignment wrapText="1"/>
    </xf>
    <xf numFmtId="4" fontId="14" fillId="0" borderId="545" xfId="0" applyFont="1" applyBorder="1" applyAlignment="1">
      <alignment wrapText="1"/>
    </xf>
    <xf numFmtId="4" fontId="14" fillId="0" borderId="546" xfId="0" applyFont="1" applyBorder="1" applyAlignment="1">
      <alignment wrapText="1"/>
    </xf>
    <xf numFmtId="4" fontId="14" fillId="0" borderId="547" xfId="0" applyFont="1" applyBorder="1" applyAlignment="1">
      <alignment wrapText="1"/>
    </xf>
    <xf numFmtId="4" fontId="14" fillId="0" borderId="550" xfId="0" applyFont="1" applyBorder="1" applyAlignment="1">
      <alignment wrapText="1"/>
    </xf>
    <xf numFmtId="4" fontId="14" fillId="0" borderId="551" xfId="0" applyFont="1" applyBorder="1" applyAlignment="1">
      <alignment wrapText="1"/>
    </xf>
    <xf numFmtId="4" fontId="14" fillId="0" borderId="552" xfId="0" applyFont="1" applyBorder="1" applyAlignment="1">
      <alignment wrapText="1"/>
    </xf>
    <xf numFmtId="4" fontId="14" fillId="0" borderId="553" xfId="0" applyFont="1" applyBorder="1" applyAlignment="1">
      <alignment wrapText="1"/>
    </xf>
    <xf numFmtId="4" fontId="6" fillId="2" borderId="554" xfId="0" applyFont="1" applyFill="1" applyBorder="1" applyAlignment="1">
      <alignment horizontal="center" wrapText="1"/>
    </xf>
    <xf numFmtId="3" fontId="12" fillId="0" borderId="528" xfId="0" applyNumberFormat="1" applyFont="1" applyBorder="1" applyAlignment="1">
      <alignment wrapText="1"/>
    </xf>
    <xf numFmtId="3" fontId="12" fillId="0" borderId="529" xfId="0" applyNumberFormat="1" applyFont="1" applyBorder="1" applyAlignment="1">
      <alignment wrapText="1"/>
    </xf>
    <xf numFmtId="3" fontId="12" fillId="0" borderId="530" xfId="0" applyNumberFormat="1" applyFont="1" applyBorder="1" applyAlignment="1">
      <alignment wrapText="1"/>
    </xf>
    <xf numFmtId="165" fontId="12" fillId="2" borderId="555" xfId="1" applyFont="1" applyFill="1" applyBorder="1" applyAlignment="1">
      <alignment horizontal="center"/>
    </xf>
    <xf numFmtId="165" fontId="12" fillId="2" borderId="475" xfId="1" applyFont="1" applyFill="1" applyBorder="1" applyAlignment="1">
      <alignment horizontal="center"/>
    </xf>
    <xf numFmtId="4" fontId="6" fillId="2" borderId="543" xfId="0" applyFont="1" applyFill="1" applyBorder="1" applyAlignment="1">
      <alignment horizontal="center" wrapText="1"/>
    </xf>
    <xf numFmtId="4" fontId="6" fillId="2" borderId="559" xfId="0" applyFont="1" applyFill="1" applyBorder="1" applyAlignment="1">
      <alignment horizontal="center" wrapText="1"/>
    </xf>
    <xf numFmtId="4" fontId="14" fillId="0" borderId="556" xfId="0" applyFont="1" applyBorder="1" applyAlignment="1">
      <alignment wrapText="1"/>
    </xf>
    <xf numFmtId="4" fontId="14" fillId="0" borderId="557" xfId="0" applyFont="1" applyBorder="1" applyAlignment="1">
      <alignment wrapText="1"/>
    </xf>
    <xf numFmtId="4" fontId="14" fillId="0" borderId="558" xfId="0" applyFont="1" applyBorder="1" applyAlignment="1">
      <alignment wrapText="1"/>
    </xf>
    <xf numFmtId="4" fontId="14" fillId="2" borderId="557" xfId="0" applyFont="1" applyFill="1" applyBorder="1" applyAlignment="1">
      <alignment wrapText="1"/>
    </xf>
    <xf numFmtId="4" fontId="12" fillId="0" borderId="560" xfId="0" applyFont="1" applyBorder="1" applyAlignment="1">
      <alignment wrapText="1"/>
    </xf>
    <xf numFmtId="4" fontId="12" fillId="0" borderId="561" xfId="0" applyFont="1" applyBorder="1" applyAlignment="1">
      <alignment wrapText="1"/>
    </xf>
    <xf numFmtId="4" fontId="12" fillId="0" borderId="562" xfId="0" applyFont="1" applyBorder="1" applyAlignment="1">
      <alignment wrapText="1"/>
    </xf>
    <xf numFmtId="4" fontId="6" fillId="2" borderId="563" xfId="0" applyFont="1" applyFill="1" applyBorder="1" applyAlignment="1">
      <alignment horizontal="center" wrapText="1"/>
    </xf>
    <xf numFmtId="4" fontId="14" fillId="0" borderId="556" xfId="6" applyFont="1" applyFill="1" applyBorder="1" applyAlignment="1">
      <alignment wrapText="1"/>
    </xf>
    <xf numFmtId="4" fontId="14" fillId="2" borderId="557" xfId="6" applyFont="1" applyFill="1" applyBorder="1" applyAlignment="1">
      <alignment wrapText="1"/>
    </xf>
    <xf numFmtId="4" fontId="14" fillId="0" borderId="560" xfId="0" applyFont="1" applyBorder="1" applyAlignment="1">
      <alignment wrapText="1"/>
    </xf>
    <xf numFmtId="4" fontId="14" fillId="0" borderId="561" xfId="0" applyFont="1" applyBorder="1" applyAlignment="1">
      <alignment wrapText="1"/>
    </xf>
    <xf numFmtId="4" fontId="14" fillId="0" borderId="562" xfId="0" applyFont="1" applyBorder="1" applyAlignment="1">
      <alignment wrapText="1"/>
    </xf>
    <xf numFmtId="4" fontId="0" fillId="0" borderId="557" xfId="0" applyBorder="1" applyAlignment="1">
      <alignment wrapText="1"/>
    </xf>
    <xf numFmtId="4" fontId="0" fillId="0" borderId="558" xfId="0" applyBorder="1" applyAlignment="1">
      <alignment wrapText="1"/>
    </xf>
    <xf numFmtId="4" fontId="6" fillId="2" borderId="564" xfId="0" applyFont="1" applyFill="1" applyBorder="1" applyAlignment="1">
      <alignment horizontal="center" wrapText="1"/>
    </xf>
    <xf numFmtId="4" fontId="6" fillId="2" borderId="568" xfId="0" applyFont="1" applyFill="1" applyBorder="1" applyAlignment="1">
      <alignment horizontal="center" wrapText="1"/>
    </xf>
    <xf numFmtId="4" fontId="14" fillId="2" borderId="566" xfId="0" applyFont="1" applyFill="1" applyBorder="1" applyAlignment="1">
      <alignment wrapText="1"/>
    </xf>
    <xf numFmtId="4" fontId="14" fillId="2" borderId="569" xfId="0" applyFont="1" applyFill="1" applyBorder="1" applyAlignment="1">
      <alignment wrapText="1"/>
    </xf>
    <xf numFmtId="4" fontId="0" fillId="0" borderId="565" xfId="0" applyBorder="1" applyAlignment="1">
      <alignment wrapText="1"/>
    </xf>
    <xf numFmtId="4" fontId="0" fillId="0" borderId="566" xfId="0" applyBorder="1" applyAlignment="1">
      <alignment wrapText="1"/>
    </xf>
    <xf numFmtId="4" fontId="0" fillId="0" borderId="567" xfId="0" applyBorder="1" applyAlignment="1">
      <alignment wrapText="1"/>
    </xf>
    <xf numFmtId="4" fontId="14" fillId="0" borderId="565" xfId="0" applyFont="1" applyBorder="1" applyAlignment="1">
      <alignment wrapText="1"/>
    </xf>
    <xf numFmtId="4" fontId="14" fillId="0" borderId="566" xfId="0" applyFont="1" applyBorder="1" applyAlignment="1">
      <alignment wrapText="1"/>
    </xf>
    <xf numFmtId="4" fontId="14" fillId="0" borderId="567" xfId="0" applyFont="1" applyBorder="1" applyAlignment="1">
      <alignment wrapText="1"/>
    </xf>
    <xf numFmtId="4" fontId="14" fillId="0" borderId="565" xfId="6" applyFont="1" applyBorder="1" applyAlignment="1">
      <alignment wrapText="1"/>
    </xf>
    <xf numFmtId="4" fontId="14" fillId="0" borderId="566" xfId="6" applyFont="1" applyBorder="1" applyAlignment="1">
      <alignment wrapText="1"/>
    </xf>
    <xf numFmtId="4" fontId="14" fillId="0" borderId="570" xfId="0" applyFont="1" applyBorder="1" applyAlignment="1">
      <alignment wrapText="1"/>
    </xf>
    <xf numFmtId="4" fontId="14" fillId="0" borderId="571" xfId="0" applyFont="1" applyBorder="1" applyAlignment="1">
      <alignment wrapText="1"/>
    </xf>
    <xf numFmtId="4" fontId="14" fillId="0" borderId="572" xfId="0" applyFont="1" applyBorder="1" applyAlignment="1">
      <alignment wrapText="1"/>
    </xf>
    <xf numFmtId="4" fontId="6" fillId="2" borderId="573" xfId="0" applyFont="1" applyFill="1" applyBorder="1" applyAlignment="1">
      <alignment horizontal="center" wrapText="1"/>
    </xf>
    <xf numFmtId="4" fontId="12" fillId="2" borderId="564" xfId="0" applyFont="1" applyFill="1" applyBorder="1" applyAlignment="1">
      <alignment wrapText="1"/>
    </xf>
    <xf numFmtId="4" fontId="12" fillId="2" borderId="574" xfId="0" applyFont="1" applyFill="1" applyBorder="1" applyAlignment="1">
      <alignment wrapText="1"/>
    </xf>
    <xf numFmtId="4" fontId="14" fillId="2" borderId="576" xfId="0" applyFont="1" applyFill="1" applyBorder="1" applyAlignment="1">
      <alignment wrapText="1"/>
    </xf>
    <xf numFmtId="4" fontId="14" fillId="2" borderId="579" xfId="0" applyFont="1" applyFill="1" applyBorder="1" applyAlignment="1">
      <alignment wrapText="1"/>
    </xf>
    <xf numFmtId="4" fontId="0" fillId="0" borderId="575" xfId="0" applyBorder="1" applyAlignment="1">
      <alignment wrapText="1"/>
    </xf>
    <xf numFmtId="4" fontId="0" fillId="0" borderId="576" xfId="0" applyBorder="1" applyAlignment="1">
      <alignment wrapText="1"/>
    </xf>
    <xf numFmtId="4" fontId="0" fillId="0" borderId="577" xfId="0" applyBorder="1" applyAlignment="1">
      <alignment wrapText="1"/>
    </xf>
    <xf numFmtId="4" fontId="6" fillId="2" borderId="578" xfId="0" applyFont="1" applyFill="1" applyBorder="1" applyAlignment="1">
      <alignment horizontal="center" wrapText="1"/>
    </xf>
    <xf numFmtId="4" fontId="14" fillId="0" borderId="575" xfId="0" applyFont="1" applyBorder="1" applyAlignment="1">
      <alignment wrapText="1"/>
    </xf>
    <xf numFmtId="4" fontId="14" fillId="0" borderId="576" xfId="0" applyFont="1" applyBorder="1" applyAlignment="1">
      <alignment wrapText="1"/>
    </xf>
    <xf numFmtId="4" fontId="14" fillId="0" borderId="577" xfId="0" applyFont="1" applyBorder="1" applyAlignment="1">
      <alignment wrapText="1"/>
    </xf>
    <xf numFmtId="4" fontId="14" fillId="2" borderId="580" xfId="0" applyFont="1" applyFill="1" applyBorder="1" applyAlignment="1">
      <alignment wrapText="1"/>
    </xf>
    <xf numFmtId="4" fontId="14" fillId="0" borderId="581" xfId="0" applyFont="1" applyBorder="1" applyAlignment="1">
      <alignment wrapText="1"/>
    </xf>
    <xf numFmtId="4" fontId="14" fillId="0" borderId="582" xfId="0" applyFont="1" applyBorder="1" applyAlignment="1">
      <alignment wrapText="1"/>
    </xf>
    <xf numFmtId="4" fontId="14" fillId="0" borderId="583" xfId="0" applyFont="1" applyBorder="1" applyAlignment="1">
      <alignment wrapText="1"/>
    </xf>
    <xf numFmtId="4" fontId="6" fillId="2" borderId="584" xfId="0" applyFont="1" applyFill="1" applyBorder="1" applyAlignment="1">
      <alignment horizontal="center" wrapText="1"/>
    </xf>
    <xf numFmtId="4" fontId="12" fillId="3" borderId="575" xfId="0" applyFont="1" applyFill="1" applyBorder="1"/>
    <xf numFmtId="4" fontId="12" fillId="3" borderId="576" xfId="0" applyFont="1" applyFill="1" applyBorder="1"/>
    <xf numFmtId="4" fontId="12" fillId="3" borderId="577" xfId="0" applyFont="1" applyFill="1" applyBorder="1"/>
    <xf numFmtId="4" fontId="6" fillId="2" borderId="574" xfId="0" applyFont="1" applyFill="1" applyBorder="1" applyAlignment="1">
      <alignment horizontal="center" wrapText="1"/>
    </xf>
    <xf numFmtId="165" fontId="14" fillId="2" borderId="576" xfId="1" applyFont="1" applyFill="1" applyBorder="1" applyAlignment="1">
      <alignment wrapText="1"/>
    </xf>
    <xf numFmtId="0" fontId="14" fillId="2" borderId="576" xfId="2" applyFont="1" applyFill="1" applyBorder="1" applyAlignment="1">
      <alignment wrapText="1"/>
    </xf>
    <xf numFmtId="0" fontId="14" fillId="0" borderId="576" xfId="2" applyFont="1" applyBorder="1" applyAlignment="1">
      <alignment wrapText="1"/>
    </xf>
    <xf numFmtId="0" fontId="14" fillId="0" borderId="575" xfId="2" applyFont="1" applyBorder="1" applyAlignment="1">
      <alignment wrapText="1"/>
    </xf>
    <xf numFmtId="4" fontId="14" fillId="0" borderId="575" xfId="0" applyFont="1" applyFill="1" applyBorder="1" applyAlignment="1">
      <alignment wrapText="1"/>
    </xf>
    <xf numFmtId="4" fontId="14" fillId="0" borderId="576" xfId="0" applyFont="1" applyFill="1" applyBorder="1" applyAlignment="1">
      <alignment wrapText="1"/>
    </xf>
    <xf numFmtId="0" fontId="17" fillId="0" borderId="581" xfId="2" applyFont="1" applyBorder="1" applyAlignment="1">
      <alignment wrapText="1"/>
    </xf>
    <xf numFmtId="0" fontId="17" fillId="0" borderId="582" xfId="2" applyFont="1" applyBorder="1" applyAlignment="1">
      <alignment wrapText="1"/>
    </xf>
    <xf numFmtId="0" fontId="17" fillId="0" borderId="583" xfId="2" applyFont="1" applyBorder="1" applyAlignment="1">
      <alignment wrapText="1"/>
    </xf>
    <xf numFmtId="4" fontId="12" fillId="0" borderId="585" xfId="0" applyFont="1" applyBorder="1" applyAlignment="1">
      <alignment wrapText="1"/>
    </xf>
    <xf numFmtId="4" fontId="12" fillId="0" borderId="586" xfId="0" applyFont="1" applyBorder="1" applyAlignment="1">
      <alignment wrapText="1"/>
    </xf>
    <xf numFmtId="4" fontId="12" fillId="0" borderId="587" xfId="0" applyFont="1" applyBorder="1" applyAlignment="1">
      <alignment wrapText="1"/>
    </xf>
    <xf numFmtId="4" fontId="6" fillId="2" borderId="589" xfId="0" applyFont="1" applyFill="1" applyBorder="1" applyAlignment="1">
      <alignment horizontal="center" wrapText="1"/>
    </xf>
    <xf numFmtId="4" fontId="12" fillId="2" borderId="590" xfId="0" applyFont="1" applyFill="1" applyBorder="1"/>
    <xf numFmtId="4" fontId="12" fillId="2" borderId="591" xfId="0" applyFont="1" applyFill="1" applyBorder="1"/>
    <xf numFmtId="4" fontId="12" fillId="0" borderId="575" xfId="0" applyFont="1" applyBorder="1" applyAlignment="1">
      <alignment wrapText="1"/>
    </xf>
    <xf numFmtId="4" fontId="12" fillId="0" borderId="576" xfId="0" applyFont="1" applyBorder="1" applyAlignment="1">
      <alignment wrapText="1"/>
    </xf>
    <xf numFmtId="4" fontId="12" fillId="0" borderId="577" xfId="0" applyFont="1" applyBorder="1" applyAlignment="1">
      <alignment wrapText="1"/>
    </xf>
    <xf numFmtId="4" fontId="14" fillId="2" borderId="592" xfId="0" applyFont="1" applyFill="1" applyBorder="1" applyAlignment="1">
      <alignment wrapText="1"/>
    </xf>
    <xf numFmtId="4" fontId="14" fillId="0" borderId="577" xfId="0" applyFont="1" applyFill="1" applyBorder="1" applyAlignment="1">
      <alignment wrapText="1"/>
    </xf>
    <xf numFmtId="4" fontId="14" fillId="0" borderId="581" xfId="0" applyFont="1" applyFill="1" applyBorder="1" applyAlignment="1">
      <alignment wrapText="1"/>
    </xf>
    <xf numFmtId="4" fontId="14" fillId="0" borderId="582" xfId="0" applyFont="1" applyFill="1" applyBorder="1" applyAlignment="1">
      <alignment wrapText="1"/>
    </xf>
    <xf numFmtId="4" fontId="6" fillId="2" borderId="593" xfId="0" applyFont="1" applyFill="1" applyBorder="1" applyAlignment="1">
      <alignment horizontal="center" wrapText="1"/>
    </xf>
    <xf numFmtId="4" fontId="0" fillId="0" borderId="585" xfId="0" applyBorder="1" applyAlignment="1">
      <alignment wrapText="1"/>
    </xf>
    <xf numFmtId="4" fontId="0" fillId="0" borderId="586" xfId="0" applyBorder="1" applyAlignment="1">
      <alignment wrapText="1"/>
    </xf>
    <xf numFmtId="4" fontId="6" fillId="2" borderId="595" xfId="0" applyFont="1" applyFill="1" applyBorder="1" applyAlignment="1">
      <alignment horizontal="center" wrapText="1"/>
    </xf>
    <xf numFmtId="4" fontId="6" fillId="2" borderId="596" xfId="0" applyFont="1" applyFill="1" applyBorder="1" applyAlignment="1">
      <alignment horizontal="center" wrapText="1"/>
    </xf>
    <xf numFmtId="4" fontId="12" fillId="2" borderId="597" xfId="0" applyFont="1" applyFill="1" applyBorder="1" applyAlignment="1">
      <alignment wrapText="1"/>
    </xf>
    <xf numFmtId="4" fontId="12" fillId="2" borderId="601" xfId="0" applyFont="1" applyFill="1" applyBorder="1" applyAlignment="1">
      <alignment wrapText="1"/>
    </xf>
    <xf numFmtId="165" fontId="12" fillId="2" borderId="476" xfId="1" applyFont="1" applyFill="1" applyBorder="1" applyAlignment="1">
      <alignment horizontal="center"/>
    </xf>
    <xf numFmtId="165" fontId="12" fillId="2" borderId="601" xfId="1" applyFont="1" applyFill="1" applyBorder="1" applyAlignment="1">
      <alignment horizontal="center"/>
    </xf>
    <xf numFmtId="4" fontId="12" fillId="2" borderId="601" xfId="0" applyFont="1" applyFill="1" applyBorder="1"/>
    <xf numFmtId="4" fontId="12" fillId="0" borderId="604" xfId="0" applyFont="1" applyBorder="1"/>
    <xf numFmtId="4" fontId="12" fillId="0" borderId="497" xfId="0" applyFont="1" applyBorder="1" applyAlignment="1">
      <alignment wrapText="1"/>
    </xf>
    <xf numFmtId="4" fontId="12" fillId="2" borderId="37" xfId="0" applyFont="1" applyFill="1" applyBorder="1" applyAlignment="1">
      <alignment wrapText="1"/>
    </xf>
    <xf numFmtId="4" fontId="12" fillId="15" borderId="606" xfId="0" applyFont="1" applyFill="1" applyBorder="1" applyAlignment="1">
      <alignment wrapText="1"/>
    </xf>
    <xf numFmtId="4" fontId="12" fillId="15" borderId="607" xfId="0" applyFont="1" applyFill="1" applyBorder="1" applyAlignment="1">
      <alignment wrapText="1"/>
    </xf>
    <xf numFmtId="4" fontId="12" fillId="15" borderId="157" xfId="0" applyFont="1" applyFill="1" applyBorder="1" applyAlignment="1">
      <alignment wrapText="1"/>
    </xf>
    <xf numFmtId="4" fontId="12" fillId="15" borderId="608" xfId="0" applyFont="1" applyFill="1" applyBorder="1" applyAlignment="1">
      <alignment wrapText="1"/>
    </xf>
    <xf numFmtId="4" fontId="12" fillId="15" borderId="609" xfId="0" applyFont="1" applyFill="1" applyBorder="1" applyAlignment="1">
      <alignment wrapText="1"/>
    </xf>
    <xf numFmtId="4" fontId="12" fillId="15" borderId="118" xfId="0" applyFont="1" applyFill="1" applyBorder="1" applyAlignment="1">
      <alignment wrapText="1"/>
    </xf>
    <xf numFmtId="4" fontId="12" fillId="15" borderId="594" xfId="0" applyFont="1" applyFill="1" applyBorder="1" applyAlignment="1">
      <alignment wrapText="1"/>
    </xf>
    <xf numFmtId="4" fontId="12" fillId="15" borderId="610" xfId="0" applyFont="1" applyFill="1" applyBorder="1" applyAlignment="1">
      <alignment wrapText="1"/>
    </xf>
    <xf numFmtId="4" fontId="12" fillId="15" borderId="46" xfId="0" applyFont="1" applyFill="1" applyBorder="1" applyAlignment="1">
      <alignment wrapText="1"/>
    </xf>
    <xf numFmtId="4" fontId="13" fillId="15" borderId="399" xfId="0" applyFont="1" applyFill="1" applyBorder="1"/>
    <xf numFmtId="4" fontId="14" fillId="15" borderId="499" xfId="0" applyFont="1" applyFill="1" applyBorder="1" applyAlignment="1">
      <alignment wrapText="1"/>
    </xf>
    <xf numFmtId="4" fontId="14" fillId="15" borderId="528" xfId="0" applyFont="1" applyFill="1" applyBorder="1" applyAlignment="1">
      <alignment wrapText="1"/>
    </xf>
    <xf numFmtId="4" fontId="14" fillId="15" borderId="529" xfId="0" applyFont="1" applyFill="1" applyBorder="1" applyAlignment="1">
      <alignment wrapText="1"/>
    </xf>
    <xf numFmtId="4" fontId="14" fillId="15" borderId="530" xfId="0" applyFont="1" applyFill="1" applyBorder="1" applyAlignment="1">
      <alignment wrapText="1"/>
    </xf>
    <xf numFmtId="4" fontId="14" fillId="15" borderId="524" xfId="0" applyFont="1" applyFill="1" applyBorder="1" applyAlignment="1">
      <alignment wrapText="1"/>
    </xf>
    <xf numFmtId="4" fontId="12" fillId="15" borderId="400" xfId="0" applyFont="1" applyFill="1" applyBorder="1" applyAlignment="1">
      <alignment wrapText="1"/>
    </xf>
    <xf numFmtId="4" fontId="12" fillId="15" borderId="612" xfId="0" applyFont="1" applyFill="1" applyBorder="1" applyAlignment="1">
      <alignment wrapText="1"/>
    </xf>
    <xf numFmtId="165" fontId="13" fillId="15" borderId="613" xfId="1" applyFont="1" applyFill="1" applyBorder="1" applyAlignment="1">
      <alignment horizontal="center"/>
    </xf>
    <xf numFmtId="4" fontId="14" fillId="15" borderId="518" xfId="0" applyFont="1" applyFill="1" applyBorder="1" applyAlignment="1">
      <alignment wrapText="1"/>
    </xf>
    <xf numFmtId="165" fontId="12" fillId="15" borderId="614" xfId="1" applyFont="1" applyFill="1" applyBorder="1" applyAlignment="1">
      <alignment horizontal="center"/>
    </xf>
    <xf numFmtId="165" fontId="12" fillId="15" borderId="613" xfId="1" applyFont="1" applyFill="1" applyBorder="1" applyAlignment="1">
      <alignment horizontal="center"/>
    </xf>
    <xf numFmtId="165" fontId="12" fillId="15" borderId="615" xfId="1" applyFont="1" applyFill="1" applyBorder="1" applyAlignment="1">
      <alignment horizontal="center"/>
    </xf>
    <xf numFmtId="165" fontId="12" fillId="15" borderId="12" xfId="1" applyFont="1" applyFill="1" applyBorder="1" applyAlignment="1">
      <alignment horizontal="center"/>
    </xf>
    <xf numFmtId="165" fontId="12" fillId="15" borderId="611" xfId="1" applyFont="1" applyFill="1" applyBorder="1" applyAlignment="1">
      <alignment horizontal="center"/>
    </xf>
    <xf numFmtId="4" fontId="12" fillId="0" borderId="616" xfId="0" applyFont="1" applyBorder="1" applyAlignment="1">
      <alignment wrapText="1"/>
    </xf>
    <xf numFmtId="4" fontId="12" fillId="2" borderId="620" xfId="0" applyFont="1" applyFill="1" applyBorder="1"/>
    <xf numFmtId="4" fontId="12" fillId="15" borderId="453" xfId="0" applyFont="1" applyFill="1" applyBorder="1" applyAlignment="1">
      <alignment wrapText="1"/>
    </xf>
    <xf numFmtId="4" fontId="12" fillId="15" borderId="617" xfId="0" applyFont="1" applyFill="1" applyBorder="1" applyAlignment="1">
      <alignment wrapText="1"/>
    </xf>
    <xf numFmtId="4" fontId="12" fillId="15" borderId="618" xfId="0" applyFont="1" applyFill="1" applyBorder="1" applyAlignment="1">
      <alignment wrapText="1"/>
    </xf>
    <xf numFmtId="4" fontId="12" fillId="15" borderId="619" xfId="0" applyFont="1" applyFill="1" applyBorder="1" applyAlignment="1">
      <alignment wrapText="1"/>
    </xf>
    <xf numFmtId="4" fontId="12" fillId="15" borderId="620" xfId="0" applyFont="1" applyFill="1" applyBorder="1" applyAlignment="1">
      <alignment wrapText="1"/>
    </xf>
    <xf numFmtId="4" fontId="12" fillId="15" borderId="620" xfId="0" applyFont="1" applyFill="1" applyBorder="1"/>
    <xf numFmtId="4" fontId="13" fillId="0" borderId="497" xfId="0" applyFont="1" applyBorder="1"/>
    <xf numFmtId="4" fontId="13" fillId="0" borderId="465" xfId="0" applyFont="1" applyBorder="1"/>
    <xf numFmtId="4" fontId="13" fillId="15" borderId="622" xfId="0" applyFont="1" applyFill="1" applyBorder="1"/>
    <xf numFmtId="4" fontId="13" fillId="15" borderId="623" xfId="0" applyFont="1" applyFill="1" applyBorder="1"/>
    <xf numFmtId="4" fontId="14" fillId="15" borderId="623" xfId="0" applyFont="1" applyFill="1" applyBorder="1" applyAlignment="1">
      <alignment wrapText="1"/>
    </xf>
    <xf numFmtId="4" fontId="14" fillId="15" borderId="624" xfId="0" applyFont="1" applyFill="1" applyBorder="1"/>
    <xf numFmtId="4" fontId="14" fillId="15" borderId="625" xfId="0" applyFont="1" applyFill="1" applyBorder="1"/>
    <xf numFmtId="4" fontId="14" fillId="15" borderId="626" xfId="0" applyFont="1" applyFill="1" applyBorder="1"/>
    <xf numFmtId="4" fontId="14" fillId="15" borderId="627" xfId="0" applyFont="1" applyFill="1" applyBorder="1"/>
    <xf numFmtId="4" fontId="12" fillId="15" borderId="621" xfId="0" applyFont="1" applyFill="1" applyBorder="1"/>
    <xf numFmtId="4" fontId="14" fillId="2" borderId="628" xfId="0" applyFont="1" applyFill="1" applyBorder="1" applyAlignment="1">
      <alignment wrapText="1"/>
    </xf>
    <xf numFmtId="4" fontId="14" fillId="2" borderId="629" xfId="0" applyFont="1" applyFill="1" applyBorder="1" applyAlignment="1">
      <alignment wrapText="1"/>
    </xf>
    <xf numFmtId="1" fontId="14" fillId="9" borderId="436" xfId="0" applyNumberFormat="1" applyFont="1" applyFill="1" applyBorder="1" applyAlignment="1">
      <alignment wrapText="1"/>
    </xf>
    <xf numFmtId="4" fontId="14" fillId="0" borderId="630" xfId="0" applyFont="1" applyBorder="1" applyAlignment="1">
      <alignment wrapText="1"/>
    </xf>
    <xf numFmtId="4" fontId="14" fillId="2" borderId="631" xfId="0" applyFont="1" applyFill="1" applyBorder="1" applyAlignment="1">
      <alignment wrapText="1"/>
    </xf>
    <xf numFmtId="4" fontId="14" fillId="2" borderId="632" xfId="0" applyFont="1" applyFill="1" applyBorder="1" applyAlignment="1">
      <alignment wrapText="1"/>
    </xf>
    <xf numFmtId="4" fontId="12" fillId="2" borderId="633" xfId="0" applyFont="1" applyFill="1" applyBorder="1" applyAlignment="1">
      <alignment wrapText="1"/>
    </xf>
    <xf numFmtId="4" fontId="14" fillId="2" borderId="634" xfId="0" applyFont="1" applyFill="1" applyBorder="1" applyAlignment="1">
      <alignment wrapText="1"/>
    </xf>
    <xf numFmtId="4" fontId="14" fillId="2" borderId="635" xfId="0" applyFont="1" applyFill="1" applyBorder="1" applyAlignment="1">
      <alignment wrapText="1"/>
    </xf>
    <xf numFmtId="4" fontId="12" fillId="2" borderId="518" xfId="0" applyFont="1" applyFill="1" applyBorder="1" applyAlignment="1">
      <alignment wrapText="1"/>
    </xf>
    <xf numFmtId="4" fontId="14" fillId="2" borderId="518" xfId="0" applyFont="1" applyFill="1" applyBorder="1" applyAlignment="1">
      <alignment wrapText="1"/>
    </xf>
    <xf numFmtId="4" fontId="14" fillId="2" borderId="636" xfId="0" applyFont="1" applyFill="1" applyBorder="1" applyAlignment="1">
      <alignment wrapText="1"/>
    </xf>
    <xf numFmtId="0" fontId="14" fillId="0" borderId="605" xfId="3" applyFont="1" applyBorder="1" applyAlignment="1">
      <alignment horizontal="left"/>
    </xf>
    <xf numFmtId="0" fontId="14" fillId="0" borderId="637" xfId="3" applyFont="1" applyBorder="1" applyAlignment="1">
      <alignment wrapText="1"/>
    </xf>
    <xf numFmtId="4" fontId="14" fillId="2" borderId="638" xfId="0" applyFont="1" applyFill="1" applyBorder="1" applyAlignment="1">
      <alignment wrapText="1"/>
    </xf>
    <xf numFmtId="4" fontId="14" fillId="2" borderId="639" xfId="0" applyFont="1" applyFill="1" applyBorder="1" applyAlignment="1">
      <alignment wrapText="1"/>
    </xf>
    <xf numFmtId="4" fontId="12" fillId="2" borderId="640" xfId="0" applyFont="1" applyFill="1" applyBorder="1" applyAlignment="1">
      <alignment wrapText="1"/>
    </xf>
    <xf numFmtId="4" fontId="14" fillId="2" borderId="641" xfId="0" applyFont="1" applyFill="1" applyBorder="1" applyAlignment="1">
      <alignment wrapText="1"/>
    </xf>
    <xf numFmtId="1" fontId="53" fillId="0" borderId="436" xfId="0" applyNumberFormat="1" applyFont="1" applyBorder="1" applyAlignment="1">
      <alignment wrapText="1"/>
    </xf>
    <xf numFmtId="3" fontId="15" fillId="9" borderId="437" xfId="0" applyNumberFormat="1" applyFont="1" applyFill="1" applyBorder="1"/>
    <xf numFmtId="4" fontId="15" fillId="9" borderId="437" xfId="0" applyFont="1" applyFill="1" applyBorder="1"/>
    <xf numFmtId="4" fontId="51" fillId="2" borderId="253" xfId="0" applyFont="1" applyFill="1" applyBorder="1" applyAlignment="1">
      <alignment wrapText="1"/>
    </xf>
    <xf numFmtId="4" fontId="14" fillId="0" borderId="631" xfId="0" applyFont="1" applyBorder="1" applyAlignment="1">
      <alignment wrapText="1"/>
    </xf>
    <xf numFmtId="4" fontId="14" fillId="0" borderId="632" xfId="0" applyFont="1" applyBorder="1" applyAlignment="1">
      <alignment wrapText="1"/>
    </xf>
    <xf numFmtId="4" fontId="14" fillId="0" borderId="633" xfId="0" applyFont="1" applyBorder="1" applyAlignment="1">
      <alignment wrapText="1"/>
    </xf>
    <xf numFmtId="4" fontId="6" fillId="2" borderId="642" xfId="0" applyFont="1" applyFill="1" applyBorder="1" applyAlignment="1">
      <alignment horizontal="center" wrapText="1"/>
    </xf>
    <xf numFmtId="165" fontId="14" fillId="0" borderId="0" xfId="8" applyFont="1" applyBorder="1" applyAlignment="1">
      <alignment wrapText="1"/>
    </xf>
    <xf numFmtId="4" fontId="13" fillId="0" borderId="644" xfId="0" applyFont="1" applyBorder="1" applyAlignment="1">
      <alignment wrapText="1"/>
    </xf>
    <xf numFmtId="4" fontId="6" fillId="0" borderId="535" xfId="0" applyFont="1" applyBorder="1" applyAlignment="1">
      <alignment horizontal="center" wrapText="1"/>
    </xf>
    <xf numFmtId="4" fontId="6" fillId="0" borderId="514" xfId="0" applyFont="1" applyBorder="1" applyAlignment="1">
      <alignment horizontal="center" wrapText="1"/>
    </xf>
    <xf numFmtId="4" fontId="12" fillId="15" borderId="648" xfId="0" applyFont="1" applyFill="1" applyBorder="1" applyAlignment="1">
      <alignment wrapText="1"/>
    </xf>
    <xf numFmtId="4" fontId="12" fillId="2" borderId="650" xfId="0" applyFont="1" applyFill="1" applyBorder="1"/>
    <xf numFmtId="4" fontId="12" fillId="15" borderId="651" xfId="0" applyFont="1" applyFill="1" applyBorder="1"/>
    <xf numFmtId="4" fontId="6" fillId="2" borderId="652" xfId="0" applyFont="1" applyFill="1" applyBorder="1" applyAlignment="1">
      <alignment horizontal="center" wrapText="1"/>
    </xf>
    <xf numFmtId="4" fontId="6" fillId="2" borderId="598" xfId="0" applyFont="1" applyFill="1" applyBorder="1" applyAlignment="1">
      <alignment horizontal="center" wrapText="1"/>
    </xf>
    <xf numFmtId="4" fontId="6" fillId="2" borderId="653" xfId="0" applyFont="1" applyFill="1" applyBorder="1" applyAlignment="1">
      <alignment horizontal="center" wrapText="1"/>
    </xf>
    <xf numFmtId="4" fontId="6" fillId="2" borderId="654" xfId="0" applyFont="1" applyFill="1" applyBorder="1" applyAlignment="1">
      <alignment horizontal="center" wrapText="1"/>
    </xf>
    <xf numFmtId="4" fontId="6" fillId="2" borderId="81" xfId="0" applyFont="1" applyFill="1" applyBorder="1" applyAlignment="1">
      <alignment horizontal="center" wrapText="1"/>
    </xf>
    <xf numFmtId="4" fontId="6" fillId="2" borderId="602" xfId="0" applyFont="1" applyFill="1" applyBorder="1" applyAlignment="1">
      <alignment horizontal="center" wrapText="1"/>
    </xf>
    <xf numFmtId="4" fontId="6" fillId="2" borderId="599" xfId="0" applyFont="1" applyFill="1" applyBorder="1" applyAlignment="1">
      <alignment horizontal="center" wrapText="1"/>
    </xf>
    <xf numFmtId="4" fontId="6" fillId="2" borderId="600" xfId="0" applyFont="1" applyFill="1" applyBorder="1" applyAlignment="1">
      <alignment horizontal="center" wrapText="1"/>
    </xf>
    <xf numFmtId="4" fontId="12" fillId="15" borderId="113" xfId="0" applyFont="1" applyFill="1" applyBorder="1" applyAlignment="1">
      <alignment wrapText="1"/>
    </xf>
    <xf numFmtId="4" fontId="12" fillId="2" borderId="655" xfId="0" applyFont="1" applyFill="1" applyBorder="1" applyAlignment="1">
      <alignment wrapText="1"/>
    </xf>
    <xf numFmtId="4" fontId="6" fillId="2" borderId="656" xfId="0" applyFont="1" applyFill="1" applyBorder="1" applyAlignment="1">
      <alignment horizontal="center" wrapText="1"/>
    </xf>
    <xf numFmtId="4" fontId="6" fillId="2" borderId="657" xfId="0" applyFont="1" applyFill="1" applyBorder="1" applyAlignment="1">
      <alignment horizontal="center" wrapText="1"/>
    </xf>
    <xf numFmtId="4" fontId="6" fillId="2" borderId="658" xfId="0" applyFont="1" applyFill="1" applyBorder="1" applyAlignment="1">
      <alignment horizontal="center" wrapText="1"/>
    </xf>
    <xf numFmtId="4" fontId="12" fillId="15" borderId="81" xfId="0" applyFont="1" applyFill="1" applyBorder="1" applyAlignment="1">
      <alignment wrapText="1"/>
    </xf>
    <xf numFmtId="4" fontId="12" fillId="2" borderId="656" xfId="0" applyFont="1" applyFill="1" applyBorder="1" applyAlignment="1">
      <alignment wrapText="1"/>
    </xf>
    <xf numFmtId="165" fontId="12" fillId="15" borderId="81" xfId="1" applyFont="1" applyFill="1" applyBorder="1" applyAlignment="1">
      <alignment horizontal="center"/>
    </xf>
    <xf numFmtId="4" fontId="6" fillId="2" borderId="655" xfId="0" applyFont="1" applyFill="1" applyBorder="1" applyAlignment="1">
      <alignment horizontal="center" wrapText="1"/>
    </xf>
    <xf numFmtId="4" fontId="12" fillId="2" borderId="659" xfId="0" applyFont="1" applyFill="1" applyBorder="1"/>
    <xf numFmtId="4" fontId="6" fillId="2" borderId="603" xfId="0" applyFont="1" applyFill="1" applyBorder="1" applyAlignment="1">
      <alignment horizontal="center" wrapText="1"/>
    </xf>
    <xf numFmtId="4" fontId="12" fillId="15" borderId="660" xfId="0" applyFont="1" applyFill="1" applyBorder="1"/>
    <xf numFmtId="4" fontId="6" fillId="0" borderId="83" xfId="0" applyFont="1" applyFill="1" applyBorder="1" applyAlignment="1">
      <alignment horizontal="center" wrapText="1"/>
    </xf>
    <xf numFmtId="4" fontId="13" fillId="2" borderId="663" xfId="0" applyFont="1" applyFill="1" applyBorder="1" applyAlignment="1">
      <alignment horizontal="center" wrapText="1"/>
    </xf>
    <xf numFmtId="4" fontId="13" fillId="2" borderId="664" xfId="0" applyFont="1" applyFill="1" applyBorder="1" applyAlignment="1">
      <alignment horizontal="center" wrapText="1"/>
    </xf>
    <xf numFmtId="4" fontId="12" fillId="2" borderId="665" xfId="0" applyFont="1" applyFill="1" applyBorder="1"/>
    <xf numFmtId="4" fontId="12" fillId="2" borderId="666" xfId="0" applyFont="1" applyFill="1" applyBorder="1"/>
    <xf numFmtId="4" fontId="12" fillId="2" borderId="667" xfId="0" applyFont="1" applyFill="1" applyBorder="1" applyAlignment="1">
      <alignment wrapText="1"/>
    </xf>
    <xf numFmtId="4" fontId="12" fillId="2" borderId="668" xfId="0" applyFont="1" applyFill="1" applyBorder="1" applyAlignment="1">
      <alignment wrapText="1"/>
    </xf>
    <xf numFmtId="4" fontId="12" fillId="2" borderId="667" xfId="0" applyFont="1" applyFill="1" applyBorder="1"/>
    <xf numFmtId="4" fontId="12" fillId="2" borderId="668" xfId="0" applyFont="1" applyFill="1" applyBorder="1"/>
    <xf numFmtId="4" fontId="12" fillId="2" borderId="669" xfId="0" applyFont="1" applyFill="1" applyBorder="1"/>
    <xf numFmtId="4" fontId="12" fillId="2" borderId="670" xfId="0" applyFont="1" applyFill="1" applyBorder="1"/>
    <xf numFmtId="4" fontId="12" fillId="2" borderId="671" xfId="0" applyFont="1" applyFill="1" applyBorder="1" applyAlignment="1">
      <alignment wrapText="1"/>
    </xf>
    <xf numFmtId="4" fontId="12" fillId="2" borderId="672" xfId="0" applyFont="1" applyFill="1" applyBorder="1" applyAlignment="1">
      <alignment wrapText="1"/>
    </xf>
    <xf numFmtId="4" fontId="12" fillId="2" borderId="673" xfId="0" applyFont="1" applyFill="1" applyBorder="1" applyAlignment="1">
      <alignment wrapText="1"/>
    </xf>
    <xf numFmtId="4" fontId="12" fillId="2" borderId="674" xfId="0" applyFont="1" applyFill="1" applyBorder="1" applyAlignment="1">
      <alignment wrapText="1"/>
    </xf>
    <xf numFmtId="4" fontId="12" fillId="2" borderId="661" xfId="0" applyFont="1" applyFill="1" applyBorder="1" applyAlignment="1">
      <alignment wrapText="1"/>
    </xf>
    <xf numFmtId="4" fontId="12" fillId="2" borderId="662" xfId="0" applyFont="1" applyFill="1" applyBorder="1" applyAlignment="1">
      <alignment wrapText="1"/>
    </xf>
    <xf numFmtId="4" fontId="12" fillId="2" borderId="675" xfId="0" applyFont="1" applyFill="1" applyBorder="1"/>
    <xf numFmtId="4" fontId="12" fillId="2" borderId="676" xfId="0" applyFont="1" applyFill="1" applyBorder="1"/>
    <xf numFmtId="4" fontId="12" fillId="15" borderId="677" xfId="0" applyFont="1" applyFill="1" applyBorder="1" applyAlignment="1">
      <alignment wrapText="1"/>
    </xf>
    <xf numFmtId="4" fontId="12" fillId="15" borderId="678" xfId="0" applyFont="1" applyFill="1" applyBorder="1" applyAlignment="1">
      <alignment wrapText="1"/>
    </xf>
    <xf numFmtId="4" fontId="12" fillId="2" borderId="679" xfId="0" applyFont="1" applyFill="1" applyBorder="1" applyAlignment="1">
      <alignment wrapText="1"/>
    </xf>
    <xf numFmtId="4" fontId="12" fillId="2" borderId="680" xfId="0" applyFont="1" applyFill="1" applyBorder="1" applyAlignment="1">
      <alignment wrapText="1"/>
    </xf>
    <xf numFmtId="4" fontId="12" fillId="2" borderId="669" xfId="0" applyFont="1" applyFill="1" applyBorder="1" applyAlignment="1">
      <alignment wrapText="1"/>
    </xf>
    <xf numFmtId="4" fontId="12" fillId="2" borderId="670" xfId="0" applyFont="1" applyFill="1" applyBorder="1" applyAlignment="1">
      <alignment wrapText="1"/>
    </xf>
    <xf numFmtId="165" fontId="12" fillId="2" borderId="682" xfId="1" applyFont="1" applyFill="1" applyBorder="1" applyAlignment="1">
      <alignment horizontal="center"/>
    </xf>
    <xf numFmtId="165" fontId="12" fillId="2" borderId="671" xfId="1" applyFont="1" applyFill="1" applyBorder="1" applyAlignment="1">
      <alignment horizontal="center"/>
    </xf>
    <xf numFmtId="165" fontId="12" fillId="2" borderId="672" xfId="1" applyFont="1" applyFill="1" applyBorder="1" applyAlignment="1">
      <alignment horizontal="center"/>
    </xf>
    <xf numFmtId="4" fontId="12" fillId="15" borderId="673" xfId="0" applyFont="1" applyFill="1" applyBorder="1" applyAlignment="1">
      <alignment wrapText="1"/>
    </xf>
    <xf numFmtId="4" fontId="12" fillId="15" borderId="674" xfId="0" applyFont="1" applyFill="1" applyBorder="1" applyAlignment="1">
      <alignment wrapText="1"/>
    </xf>
    <xf numFmtId="165" fontId="12" fillId="15" borderId="673" xfId="1" applyFont="1" applyFill="1" applyBorder="1" applyAlignment="1">
      <alignment horizontal="center"/>
    </xf>
    <xf numFmtId="165" fontId="12" fillId="15" borderId="674" xfId="1" applyFont="1" applyFill="1" applyBorder="1" applyAlignment="1">
      <alignment horizontal="center"/>
    </xf>
    <xf numFmtId="4" fontId="12" fillId="2" borderId="671" xfId="0" applyFont="1" applyFill="1" applyBorder="1"/>
    <xf numFmtId="4" fontId="12" fillId="2" borderId="672" xfId="0" applyFont="1" applyFill="1" applyBorder="1"/>
    <xf numFmtId="4" fontId="12" fillId="15" borderId="683" xfId="0" applyFont="1" applyFill="1" applyBorder="1"/>
    <xf numFmtId="4" fontId="12" fillId="15" borderId="684" xfId="0" applyFont="1" applyFill="1" applyBorder="1"/>
    <xf numFmtId="4" fontId="12" fillId="2" borderId="685" xfId="0" applyFont="1" applyFill="1" applyBorder="1"/>
    <xf numFmtId="4" fontId="0" fillId="2" borderId="667" xfId="0" applyFill="1" applyBorder="1" applyAlignment="1">
      <alignment wrapText="1"/>
    </xf>
    <xf numFmtId="4" fontId="0" fillId="2" borderId="668" xfId="0" applyFill="1" applyBorder="1" applyAlignment="1">
      <alignment wrapText="1"/>
    </xf>
    <xf numFmtId="4" fontId="12" fillId="15" borderId="686" xfId="0" applyFont="1" applyFill="1" applyBorder="1"/>
    <xf numFmtId="4" fontId="12" fillId="15" borderId="687" xfId="0" applyFont="1" applyFill="1" applyBorder="1"/>
    <xf numFmtId="4" fontId="12" fillId="2" borderId="673" xfId="0" applyFont="1" applyFill="1" applyBorder="1"/>
    <xf numFmtId="4" fontId="12" fillId="2" borderId="674" xfId="0" applyFont="1" applyFill="1" applyBorder="1"/>
    <xf numFmtId="4" fontId="13" fillId="3" borderId="686" xfId="0" applyFont="1" applyFill="1" applyBorder="1"/>
    <xf numFmtId="4" fontId="0" fillId="0" borderId="675" xfId="0" applyBorder="1"/>
    <xf numFmtId="4" fontId="0" fillId="0" borderId="676" xfId="0" applyBorder="1"/>
    <xf numFmtId="4" fontId="12" fillId="0" borderId="688" xfId="0" applyFont="1" applyBorder="1"/>
    <xf numFmtId="4" fontId="12" fillId="0" borderId="689" xfId="0" applyFont="1" applyBorder="1"/>
    <xf numFmtId="4" fontId="12" fillId="2" borderId="691" xfId="0" applyFont="1" applyFill="1" applyBorder="1"/>
    <xf numFmtId="4" fontId="12" fillId="2" borderId="692" xfId="0" applyFont="1" applyFill="1" applyBorder="1"/>
    <xf numFmtId="4" fontId="12" fillId="2" borderId="693" xfId="0" applyFont="1" applyFill="1" applyBorder="1" applyAlignment="1">
      <alignment wrapText="1"/>
    </xf>
    <xf numFmtId="4" fontId="12" fillId="2" borderId="693" xfId="0" applyFont="1" applyFill="1" applyBorder="1"/>
    <xf numFmtId="4" fontId="12" fillId="2" borderId="662" xfId="0" applyFont="1" applyFill="1" applyBorder="1"/>
    <xf numFmtId="4" fontId="12" fillId="2" borderId="661" xfId="0" applyFont="1" applyFill="1" applyBorder="1"/>
    <xf numFmtId="4" fontId="12" fillId="2" borderId="680" xfId="0" applyFont="1" applyFill="1" applyBorder="1"/>
    <xf numFmtId="4" fontId="12" fillId="15" borderId="694" xfId="0" applyFont="1" applyFill="1" applyBorder="1"/>
    <xf numFmtId="4" fontId="14" fillId="0" borderId="695" xfId="0" applyFont="1" applyBorder="1"/>
    <xf numFmtId="4" fontId="12" fillId="0" borderId="676" xfId="0" applyFont="1" applyFill="1" applyBorder="1"/>
    <xf numFmtId="4" fontId="13" fillId="2" borderId="79" xfId="0" applyFont="1" applyFill="1" applyBorder="1" applyAlignment="1">
      <alignment horizontal="center" wrapText="1"/>
    </xf>
    <xf numFmtId="4" fontId="13" fillId="2" borderId="238" xfId="0" applyFont="1" applyFill="1" applyBorder="1" applyAlignment="1">
      <alignment horizontal="center" wrapText="1"/>
    </xf>
    <xf numFmtId="4" fontId="6" fillId="2" borderId="697" xfId="0" applyFont="1" applyFill="1" applyBorder="1" applyAlignment="1">
      <alignment horizontal="center" wrapText="1"/>
    </xf>
    <xf numFmtId="4" fontId="6" fillId="2" borderId="698" xfId="0" applyFont="1" applyFill="1" applyBorder="1" applyAlignment="1">
      <alignment horizontal="center" wrapText="1"/>
    </xf>
    <xf numFmtId="4" fontId="6" fillId="2" borderId="699" xfId="0" applyFont="1" applyFill="1" applyBorder="1" applyAlignment="1">
      <alignment horizontal="center" wrapText="1"/>
    </xf>
    <xf numFmtId="4" fontId="6" fillId="2" borderId="700" xfId="0" applyFont="1" applyFill="1" applyBorder="1" applyAlignment="1">
      <alignment horizontal="center" wrapText="1"/>
    </xf>
    <xf numFmtId="4" fontId="6" fillId="2" borderId="701" xfId="0" applyFont="1" applyFill="1" applyBorder="1" applyAlignment="1">
      <alignment horizontal="center" wrapText="1"/>
    </xf>
    <xf numFmtId="4" fontId="12" fillId="2" borderId="702" xfId="0" applyFont="1" applyFill="1" applyBorder="1" applyAlignment="1">
      <alignment wrapText="1"/>
    </xf>
    <xf numFmtId="4" fontId="6" fillId="2" borderId="39" xfId="0" applyFont="1" applyFill="1" applyBorder="1" applyAlignment="1">
      <alignment horizontal="center" wrapText="1"/>
    </xf>
    <xf numFmtId="4" fontId="6" fillId="2" borderId="703" xfId="0" applyFont="1" applyFill="1" applyBorder="1" applyAlignment="1">
      <alignment horizontal="center" wrapText="1"/>
    </xf>
    <xf numFmtId="4" fontId="12" fillId="2" borderId="704" xfId="0" applyFont="1" applyFill="1" applyBorder="1" applyAlignment="1">
      <alignment wrapText="1"/>
    </xf>
    <xf numFmtId="4" fontId="12" fillId="2" borderId="703" xfId="0" applyFont="1" applyFill="1" applyBorder="1" applyAlignment="1">
      <alignment wrapText="1"/>
    </xf>
    <xf numFmtId="4" fontId="6" fillId="2" borderId="705" xfId="0" applyFont="1" applyFill="1" applyBorder="1" applyAlignment="1">
      <alignment horizontal="center" wrapText="1"/>
    </xf>
    <xf numFmtId="4" fontId="12" fillId="0" borderId="706" xfId="0" applyFont="1" applyBorder="1" applyAlignment="1">
      <alignment wrapText="1"/>
    </xf>
    <xf numFmtId="4" fontId="6" fillId="2" borderId="707" xfId="0" applyFont="1" applyFill="1" applyBorder="1" applyAlignment="1">
      <alignment horizontal="center" wrapText="1"/>
    </xf>
    <xf numFmtId="165" fontId="12" fillId="2" borderId="708" xfId="1" applyFont="1" applyFill="1" applyBorder="1" applyAlignment="1">
      <alignment horizontal="center"/>
    </xf>
    <xf numFmtId="165" fontId="12" fillId="2" borderId="702" xfId="1" applyFont="1" applyFill="1" applyBorder="1" applyAlignment="1">
      <alignment horizontal="center"/>
    </xf>
    <xf numFmtId="4" fontId="12" fillId="15" borderId="39" xfId="0" applyFont="1" applyFill="1" applyBorder="1" applyAlignment="1">
      <alignment wrapText="1"/>
    </xf>
    <xf numFmtId="165" fontId="12" fillId="15" borderId="39" xfId="1" applyFont="1" applyFill="1" applyBorder="1" applyAlignment="1">
      <alignment horizontal="center"/>
    </xf>
    <xf numFmtId="4" fontId="12" fillId="2" borderId="702" xfId="0" applyFont="1" applyFill="1" applyBorder="1"/>
    <xf numFmtId="4" fontId="6" fillId="2" borderId="704" xfId="0" applyFont="1" applyFill="1" applyBorder="1" applyAlignment="1">
      <alignment horizontal="center" wrapText="1"/>
    </xf>
    <xf numFmtId="4" fontId="6" fillId="2" borderId="709" xfId="0" applyFont="1" applyFill="1" applyBorder="1" applyAlignment="1">
      <alignment horizontal="center" wrapText="1"/>
    </xf>
    <xf numFmtId="4" fontId="6" fillId="0" borderId="30" xfId="0" applyFont="1" applyFill="1" applyBorder="1" applyAlignment="1">
      <alignment horizontal="center" wrapText="1"/>
    </xf>
    <xf numFmtId="4" fontId="13" fillId="2" borderId="714" xfId="0" applyFont="1" applyFill="1" applyBorder="1" applyAlignment="1">
      <alignment horizontal="center" wrapText="1"/>
    </xf>
    <xf numFmtId="4" fontId="13" fillId="2" borderId="715" xfId="0" applyFont="1" applyFill="1" applyBorder="1" applyAlignment="1">
      <alignment horizontal="center" wrapText="1"/>
    </xf>
    <xf numFmtId="4" fontId="13" fillId="2" borderId="664" xfId="0" applyFont="1" applyFill="1" applyBorder="1" applyAlignment="1">
      <alignment wrapText="1"/>
    </xf>
    <xf numFmtId="4" fontId="12" fillId="2" borderId="691" xfId="0" applyFont="1" applyFill="1" applyBorder="1" applyAlignment="1">
      <alignment wrapText="1"/>
    </xf>
    <xf numFmtId="4" fontId="12" fillId="2" borderId="716" xfId="0" applyFont="1" applyFill="1" applyBorder="1" applyAlignment="1">
      <alignment wrapText="1"/>
    </xf>
    <xf numFmtId="4" fontId="12" fillId="2" borderId="692" xfId="0" applyFont="1" applyFill="1" applyBorder="1" applyAlignment="1">
      <alignment wrapText="1"/>
    </xf>
    <xf numFmtId="4" fontId="12" fillId="2" borderId="713" xfId="0" applyFont="1" applyFill="1" applyBorder="1" applyAlignment="1">
      <alignment wrapText="1"/>
    </xf>
    <xf numFmtId="4" fontId="14" fillId="2" borderId="667" xfId="0" applyFont="1" applyFill="1" applyBorder="1" applyAlignment="1">
      <alignment wrapText="1"/>
    </xf>
    <xf numFmtId="4" fontId="14" fillId="2" borderId="713" xfId="0" applyFont="1" applyFill="1" applyBorder="1" applyAlignment="1">
      <alignment wrapText="1"/>
    </xf>
    <xf numFmtId="4" fontId="14" fillId="2" borderId="693" xfId="0" applyFont="1" applyFill="1" applyBorder="1" applyAlignment="1">
      <alignment wrapText="1"/>
    </xf>
    <xf numFmtId="4" fontId="14" fillId="2" borderId="692" xfId="0" applyFont="1" applyFill="1" applyBorder="1" applyAlignment="1">
      <alignment wrapText="1"/>
    </xf>
    <xf numFmtId="4" fontId="14" fillId="2" borderId="669" xfId="0" applyFont="1" applyFill="1" applyBorder="1" applyAlignment="1">
      <alignment wrapText="1"/>
    </xf>
    <xf numFmtId="4" fontId="14" fillId="2" borderId="717" xfId="0" applyFont="1" applyFill="1" applyBorder="1" applyAlignment="1">
      <alignment wrapText="1"/>
    </xf>
    <xf numFmtId="4" fontId="14" fillId="2" borderId="670" xfId="0" applyFont="1" applyFill="1" applyBorder="1" applyAlignment="1">
      <alignment wrapText="1"/>
    </xf>
    <xf numFmtId="4" fontId="12" fillId="2" borderId="718" xfId="0" applyFont="1" applyFill="1" applyBorder="1" applyAlignment="1">
      <alignment wrapText="1"/>
    </xf>
    <xf numFmtId="4" fontId="12" fillId="2" borderId="677" xfId="0" applyFont="1" applyFill="1" applyBorder="1" applyAlignment="1">
      <alignment wrapText="1"/>
    </xf>
    <xf numFmtId="4" fontId="12" fillId="2" borderId="610" xfId="0" applyFont="1" applyFill="1" applyBorder="1" applyAlignment="1">
      <alignment wrapText="1"/>
    </xf>
    <xf numFmtId="4" fontId="12" fillId="2" borderId="719" xfId="0" applyFont="1" applyFill="1" applyBorder="1" applyAlignment="1">
      <alignment wrapText="1"/>
    </xf>
    <xf numFmtId="4" fontId="12" fillId="2" borderId="720" xfId="0" applyFont="1" applyFill="1" applyBorder="1" applyAlignment="1">
      <alignment wrapText="1"/>
    </xf>
    <xf numFmtId="4" fontId="12" fillId="2" borderId="721" xfId="0" applyFont="1" applyFill="1" applyBorder="1" applyAlignment="1">
      <alignment wrapText="1"/>
    </xf>
    <xf numFmtId="4" fontId="14" fillId="2" borderId="691" xfId="0" applyFont="1" applyFill="1" applyBorder="1" applyAlignment="1">
      <alignment wrapText="1"/>
    </xf>
    <xf numFmtId="4" fontId="14" fillId="2" borderId="716" xfId="0" applyFont="1" applyFill="1" applyBorder="1" applyAlignment="1">
      <alignment wrapText="1"/>
    </xf>
    <xf numFmtId="4" fontId="14" fillId="2" borderId="723" xfId="0" applyFont="1" applyFill="1" applyBorder="1" applyAlignment="1">
      <alignment wrapText="1"/>
    </xf>
    <xf numFmtId="4" fontId="14" fillId="2" borderId="720" xfId="0" applyFont="1" applyFill="1" applyBorder="1" applyAlignment="1">
      <alignment wrapText="1"/>
    </xf>
    <xf numFmtId="4" fontId="14" fillId="2" borderId="724" xfId="0" applyFont="1" applyFill="1" applyBorder="1" applyAlignment="1">
      <alignment wrapText="1"/>
    </xf>
    <xf numFmtId="4" fontId="14" fillId="2" borderId="725" xfId="0" applyFont="1" applyFill="1" applyBorder="1" applyAlignment="1">
      <alignment wrapText="1"/>
    </xf>
    <xf numFmtId="165" fontId="14" fillId="2" borderId="691" xfId="1" applyFont="1" applyFill="1" applyBorder="1" applyAlignment="1">
      <alignment wrapText="1"/>
    </xf>
    <xf numFmtId="165" fontId="14" fillId="2" borderId="716" xfId="1" applyFont="1" applyFill="1" applyBorder="1" applyAlignment="1">
      <alignment wrapText="1"/>
    </xf>
    <xf numFmtId="4" fontId="14" fillId="2" borderId="436" xfId="0" applyFont="1" applyFill="1" applyBorder="1" applyAlignment="1">
      <alignment wrapText="1"/>
    </xf>
    <xf numFmtId="4" fontId="14" fillId="2" borderId="727" xfId="0" applyFont="1" applyFill="1" applyBorder="1" applyAlignment="1">
      <alignment wrapText="1"/>
    </xf>
    <xf numFmtId="4" fontId="12" fillId="2" borderId="676" xfId="0" applyFont="1" applyFill="1" applyBorder="1" applyAlignment="1">
      <alignment wrapText="1"/>
    </xf>
    <xf numFmtId="4" fontId="12" fillId="2" borderId="436" xfId="0" applyFont="1" applyFill="1" applyBorder="1" applyAlignment="1">
      <alignment wrapText="1"/>
    </xf>
    <xf numFmtId="4" fontId="14" fillId="2" borderId="719" xfId="0" applyFont="1" applyFill="1" applyBorder="1" applyAlignment="1">
      <alignment wrapText="1"/>
    </xf>
    <xf numFmtId="165" fontId="12" fillId="2" borderId="686" xfId="1" applyFont="1" applyFill="1" applyBorder="1" applyAlignment="1">
      <alignment horizontal="center"/>
    </xf>
    <xf numFmtId="165" fontId="12" fillId="2" borderId="729" xfId="1" applyFont="1" applyFill="1" applyBorder="1" applyAlignment="1">
      <alignment horizontal="center"/>
    </xf>
    <xf numFmtId="165" fontId="14" fillId="2" borderId="667" xfId="1" applyFont="1" applyFill="1" applyBorder="1" applyAlignment="1">
      <alignment wrapText="1"/>
    </xf>
    <xf numFmtId="165" fontId="14" fillId="2" borderId="713" xfId="1" applyFont="1" applyFill="1" applyBorder="1" applyAlignment="1">
      <alignment wrapText="1"/>
    </xf>
    <xf numFmtId="4" fontId="12" fillId="2" borderId="717" xfId="0" applyFont="1" applyFill="1" applyBorder="1" applyAlignment="1">
      <alignment wrapText="1"/>
    </xf>
    <xf numFmtId="165" fontId="12" fillId="2" borderId="731" xfId="1" applyFont="1" applyFill="1" applyBorder="1" applyAlignment="1">
      <alignment horizontal="center"/>
    </xf>
    <xf numFmtId="165" fontId="12" fillId="2" borderId="732" xfId="1" applyFont="1" applyFill="1" applyBorder="1" applyAlignment="1">
      <alignment horizontal="center"/>
    </xf>
    <xf numFmtId="4" fontId="12" fillId="2" borderId="733" xfId="0" applyFont="1" applyFill="1" applyBorder="1" applyAlignment="1">
      <alignment wrapText="1"/>
    </xf>
    <xf numFmtId="4" fontId="12" fillId="2" borderId="728" xfId="0" applyFont="1" applyFill="1" applyBorder="1" applyAlignment="1">
      <alignment wrapText="1"/>
    </xf>
    <xf numFmtId="4" fontId="12" fillId="2" borderId="730" xfId="0" applyFont="1" applyFill="1" applyBorder="1" applyAlignment="1">
      <alignment wrapText="1"/>
    </xf>
    <xf numFmtId="4" fontId="51" fillId="2" borderId="713" xfId="0" applyFont="1" applyFill="1" applyBorder="1" applyAlignment="1">
      <alignment wrapText="1"/>
    </xf>
    <xf numFmtId="165" fontId="12" fillId="2" borderId="718" xfId="1" applyFont="1" applyFill="1" applyBorder="1" applyAlignment="1">
      <alignment horizontal="center"/>
    </xf>
    <xf numFmtId="165" fontId="14" fillId="2" borderId="667" xfId="8" applyFont="1" applyFill="1" applyBorder="1" applyAlignment="1">
      <alignment wrapText="1"/>
    </xf>
    <xf numFmtId="165" fontId="14" fillId="2" borderId="713" xfId="8" applyFont="1" applyFill="1" applyBorder="1" applyAlignment="1">
      <alignment wrapText="1"/>
    </xf>
    <xf numFmtId="4" fontId="12" fillId="15" borderId="691" xfId="0" applyFont="1" applyFill="1" applyBorder="1" applyAlignment="1">
      <alignment wrapText="1"/>
    </xf>
    <xf numFmtId="4" fontId="12" fillId="15" borderId="716" xfId="0" applyFont="1" applyFill="1" applyBorder="1" applyAlignment="1">
      <alignment wrapText="1"/>
    </xf>
    <xf numFmtId="4" fontId="12" fillId="15" borderId="722" xfId="0" applyFont="1" applyFill="1" applyBorder="1" applyAlignment="1">
      <alignment wrapText="1"/>
    </xf>
    <xf numFmtId="165" fontId="12" fillId="15" borderId="722" xfId="1" applyFont="1" applyFill="1" applyBorder="1" applyAlignment="1">
      <alignment horizontal="center"/>
    </xf>
    <xf numFmtId="4" fontId="12" fillId="2" borderId="718" xfId="0" applyFont="1" applyFill="1" applyBorder="1"/>
    <xf numFmtId="4" fontId="12" fillId="2" borderId="735" xfId="0" applyFont="1" applyFill="1" applyBorder="1" applyAlignment="1">
      <alignment wrapText="1"/>
    </xf>
    <xf numFmtId="4" fontId="12" fillId="2" borderId="736" xfId="0" applyFont="1" applyFill="1" applyBorder="1" applyAlignment="1">
      <alignment wrapText="1"/>
    </xf>
    <xf numFmtId="0" fontId="14" fillId="2" borderId="667" xfId="3" applyFont="1" applyFill="1" applyBorder="1" applyAlignment="1">
      <alignment wrapText="1"/>
    </xf>
    <xf numFmtId="0" fontId="14" fillId="2" borderId="713" xfId="3" applyFont="1" applyFill="1" applyBorder="1" applyAlignment="1">
      <alignment wrapText="1"/>
    </xf>
    <xf numFmtId="4" fontId="14" fillId="2" borderId="667" xfId="0" applyFont="1" applyFill="1" applyBorder="1" applyAlignment="1">
      <alignment horizontal="center" wrapText="1"/>
    </xf>
    <xf numFmtId="4" fontId="14" fillId="2" borderId="713" xfId="0" applyFont="1" applyFill="1" applyBorder="1" applyAlignment="1">
      <alignment horizontal="center" wrapText="1"/>
    </xf>
    <xf numFmtId="168" fontId="14" fillId="2" borderId="667" xfId="5" applyFont="1" applyFill="1" applyBorder="1" applyAlignment="1">
      <alignment wrapText="1"/>
    </xf>
    <xf numFmtId="0" fontId="14" fillId="2" borderId="693" xfId="2" applyFont="1" applyFill="1" applyBorder="1" applyAlignment="1">
      <alignment wrapText="1"/>
    </xf>
    <xf numFmtId="168" fontId="14" fillId="2" borderId="713" xfId="5" applyFont="1" applyFill="1" applyBorder="1" applyAlignment="1">
      <alignment wrapText="1"/>
    </xf>
    <xf numFmtId="168" fontId="14" fillId="2" borderId="693" xfId="5" applyFont="1" applyFill="1" applyBorder="1" applyAlignment="1">
      <alignment wrapText="1"/>
    </xf>
    <xf numFmtId="4" fontId="18" fillId="2" borderId="669" xfId="0" applyFont="1" applyFill="1" applyBorder="1" applyAlignment="1">
      <alignment wrapText="1"/>
    </xf>
    <xf numFmtId="4" fontId="18" fillId="2" borderId="717" xfId="0" applyFont="1" applyFill="1" applyBorder="1" applyAlignment="1">
      <alignment wrapText="1"/>
    </xf>
    <xf numFmtId="4" fontId="18" fillId="2" borderId="670" xfId="0" applyFont="1" applyFill="1" applyBorder="1" applyAlignment="1">
      <alignment wrapText="1"/>
    </xf>
    <xf numFmtId="4" fontId="12" fillId="15" borderId="737" xfId="0" applyFont="1" applyFill="1" applyBorder="1"/>
    <xf numFmtId="4" fontId="12" fillId="2" borderId="713" xfId="0" applyFont="1" applyFill="1" applyBorder="1"/>
    <xf numFmtId="4" fontId="0" fillId="2" borderId="713" xfId="0" applyFill="1" applyBorder="1" applyAlignment="1">
      <alignment wrapText="1"/>
    </xf>
    <xf numFmtId="4" fontId="0" fillId="2" borderId="693" xfId="0" applyFill="1" applyBorder="1" applyAlignment="1">
      <alignment wrapText="1"/>
    </xf>
    <xf numFmtId="165" fontId="14" fillId="2" borderId="669" xfId="1" applyFont="1" applyFill="1" applyBorder="1" applyAlignment="1">
      <alignment wrapText="1"/>
    </xf>
    <xf numFmtId="165" fontId="14" fillId="2" borderId="717" xfId="1" applyFont="1" applyFill="1" applyBorder="1" applyAlignment="1">
      <alignment wrapText="1"/>
    </xf>
    <xf numFmtId="4" fontId="12" fillId="15" borderId="729" xfId="0" applyFont="1" applyFill="1" applyBorder="1"/>
    <xf numFmtId="4" fontId="12" fillId="2" borderId="682" xfId="0" applyFont="1" applyFill="1" applyBorder="1"/>
    <xf numFmtId="4" fontId="12" fillId="2" borderId="731" xfId="0" applyFont="1" applyFill="1" applyBorder="1"/>
    <xf numFmtId="4" fontId="13" fillId="3" borderId="729" xfId="0" applyFont="1" applyFill="1" applyBorder="1"/>
    <xf numFmtId="4" fontId="14" fillId="0" borderId="738" xfId="0" applyFont="1" applyBorder="1"/>
    <xf numFmtId="4" fontId="0" fillId="0" borderId="710" xfId="0" applyBorder="1"/>
    <xf numFmtId="4" fontId="0" fillId="0" borderId="711" xfId="0" applyBorder="1"/>
    <xf numFmtId="4" fontId="12" fillId="0" borderId="739" xfId="0" applyFont="1" applyBorder="1"/>
    <xf numFmtId="4" fontId="14" fillId="0" borderId="689" xfId="0" applyFont="1" applyBorder="1"/>
    <xf numFmtId="4" fontId="6" fillId="0" borderId="522" xfId="0" applyFont="1" applyBorder="1" applyAlignment="1">
      <alignment horizontal="center"/>
    </xf>
    <xf numFmtId="4" fontId="6" fillId="9" borderId="0" xfId="0" applyFont="1" applyFill="1" applyBorder="1"/>
    <xf numFmtId="4" fontId="6" fillId="0" borderId="500" xfId="0" applyFont="1" applyFill="1" applyBorder="1" applyAlignment="1">
      <alignment vertical="center" wrapText="1"/>
    </xf>
    <xf numFmtId="4" fontId="6" fillId="0" borderId="500" xfId="0" applyFont="1" applyBorder="1"/>
    <xf numFmtId="4" fontId="13" fillId="0" borderId="500" xfId="0" applyFont="1" applyBorder="1"/>
    <xf numFmtId="4" fontId="13" fillId="0" borderId="500" xfId="0" applyFont="1" applyBorder="1" applyAlignment="1">
      <alignment wrapText="1"/>
    </xf>
    <xf numFmtId="4" fontId="12" fillId="2" borderId="742" xfId="0" applyFont="1" applyFill="1" applyBorder="1" applyAlignment="1">
      <alignment wrapText="1"/>
    </xf>
    <xf numFmtId="4" fontId="12" fillId="2" borderId="453" xfId="0" applyFont="1" applyFill="1" applyBorder="1" applyAlignment="1">
      <alignment wrapText="1"/>
    </xf>
    <xf numFmtId="4" fontId="12" fillId="2" borderId="500" xfId="0" applyFont="1" applyFill="1" applyBorder="1" applyAlignment="1">
      <alignment wrapText="1"/>
    </xf>
    <xf numFmtId="4" fontId="12" fillId="2" borderId="234" xfId="0" applyFont="1" applyFill="1" applyBorder="1" applyAlignment="1">
      <alignment wrapText="1"/>
    </xf>
    <xf numFmtId="4" fontId="14" fillId="2" borderId="743" xfId="0" applyFont="1" applyFill="1" applyBorder="1" applyAlignment="1">
      <alignment wrapText="1"/>
    </xf>
    <xf numFmtId="4" fontId="14" fillId="2" borderId="744" xfId="0" applyFont="1" applyFill="1" applyBorder="1" applyAlignment="1">
      <alignment wrapText="1"/>
    </xf>
    <xf numFmtId="4" fontId="12" fillId="2" borderId="745" xfId="0" applyFont="1" applyFill="1" applyBorder="1" applyAlignment="1">
      <alignment wrapText="1"/>
    </xf>
    <xf numFmtId="4" fontId="14" fillId="2" borderId="746" xfId="0" applyFont="1" applyFill="1" applyBorder="1" applyAlignment="1">
      <alignment wrapText="1"/>
    </xf>
    <xf numFmtId="4" fontId="14" fillId="2" borderId="747" xfId="0" applyFont="1" applyFill="1" applyBorder="1" applyAlignment="1">
      <alignment wrapText="1"/>
    </xf>
    <xf numFmtId="4" fontId="12" fillId="2" borderId="743" xfId="0" applyFont="1" applyFill="1" applyBorder="1" applyAlignment="1">
      <alignment wrapText="1"/>
    </xf>
    <xf numFmtId="4" fontId="12" fillId="2" borderId="744" xfId="0" applyFont="1" applyFill="1" applyBorder="1" applyAlignment="1">
      <alignment wrapText="1"/>
    </xf>
    <xf numFmtId="4" fontId="14" fillId="2" borderId="748" xfId="0" applyFont="1" applyFill="1" applyBorder="1" applyAlignment="1">
      <alignment wrapText="1"/>
    </xf>
    <xf numFmtId="4" fontId="14" fillId="2" borderId="668" xfId="0" applyFont="1" applyFill="1" applyBorder="1" applyAlignment="1">
      <alignment wrapText="1"/>
    </xf>
    <xf numFmtId="4" fontId="14" fillId="2" borderId="749" xfId="0" applyFont="1" applyFill="1" applyBorder="1" applyAlignment="1">
      <alignment wrapText="1"/>
    </xf>
    <xf numFmtId="4" fontId="14" fillId="2" borderId="750" xfId="0" applyFont="1" applyFill="1" applyBorder="1" applyAlignment="1">
      <alignment wrapText="1"/>
    </xf>
    <xf numFmtId="4" fontId="12" fillId="2" borderId="751" xfId="0" applyFont="1" applyFill="1" applyBorder="1" applyAlignment="1">
      <alignment wrapText="1"/>
    </xf>
    <xf numFmtId="4" fontId="14" fillId="2" borderId="752" xfId="0" applyFont="1" applyFill="1" applyBorder="1" applyAlignment="1">
      <alignment wrapText="1"/>
    </xf>
    <xf numFmtId="4" fontId="13" fillId="0" borderId="753" xfId="0" applyFont="1" applyBorder="1"/>
    <xf numFmtId="4" fontId="14" fillId="0" borderId="754" xfId="0" applyFont="1" applyBorder="1" applyAlignment="1">
      <alignment wrapText="1"/>
    </xf>
    <xf numFmtId="4" fontId="14" fillId="2" borderId="755" xfId="0" applyFont="1" applyFill="1" applyBorder="1" applyAlignment="1">
      <alignment wrapText="1"/>
    </xf>
    <xf numFmtId="4" fontId="14" fillId="2" borderId="753" xfId="0" applyFont="1" applyFill="1" applyBorder="1" applyAlignment="1">
      <alignment wrapText="1"/>
    </xf>
    <xf numFmtId="4" fontId="14" fillId="2" borderId="756" xfId="0" applyFont="1" applyFill="1" applyBorder="1" applyAlignment="1">
      <alignment wrapText="1"/>
    </xf>
    <xf numFmtId="4" fontId="14" fillId="2" borderId="757" xfId="0" applyFont="1" applyFill="1" applyBorder="1" applyAlignment="1">
      <alignment wrapText="1"/>
    </xf>
    <xf numFmtId="4" fontId="14" fillId="0" borderId="612" xfId="0" applyFont="1" applyBorder="1" applyAlignment="1">
      <alignment wrapText="1"/>
    </xf>
    <xf numFmtId="4" fontId="14" fillId="0" borderId="22" xfId="0" applyFont="1" applyBorder="1" applyAlignment="1">
      <alignment wrapText="1"/>
    </xf>
    <xf numFmtId="4" fontId="14" fillId="2" borderId="758" xfId="0" applyFont="1" applyFill="1" applyBorder="1" applyAlignment="1">
      <alignment wrapText="1"/>
    </xf>
    <xf numFmtId="4" fontId="14" fillId="2" borderId="21" xfId="0" applyFont="1" applyFill="1" applyBorder="1" applyAlignment="1">
      <alignment wrapText="1"/>
    </xf>
    <xf numFmtId="4" fontId="14" fillId="2" borderId="759" xfId="0" applyFont="1" applyFill="1" applyBorder="1" applyAlignment="1">
      <alignment wrapText="1"/>
    </xf>
    <xf numFmtId="4" fontId="12" fillId="2" borderId="760" xfId="0" applyFont="1" applyFill="1" applyBorder="1" applyAlignment="1">
      <alignment wrapText="1"/>
    </xf>
    <xf numFmtId="4" fontId="14" fillId="2" borderId="761" xfId="0" applyFont="1" applyFill="1" applyBorder="1" applyAlignment="1">
      <alignment wrapText="1"/>
    </xf>
    <xf numFmtId="4" fontId="13" fillId="0" borderId="753" xfId="0" applyFont="1" applyBorder="1" applyAlignment="1">
      <alignment wrapText="1"/>
    </xf>
    <xf numFmtId="165" fontId="14" fillId="2" borderId="755" xfId="8" applyFont="1" applyFill="1" applyBorder="1" applyAlignment="1">
      <alignment wrapText="1"/>
    </xf>
    <xf numFmtId="165" fontId="14" fillId="2" borderId="753" xfId="8" applyFont="1" applyFill="1" applyBorder="1" applyAlignment="1">
      <alignment wrapText="1"/>
    </xf>
    <xf numFmtId="4" fontId="12" fillId="2" borderId="762" xfId="0" applyFont="1" applyFill="1" applyBorder="1" applyAlignment="1">
      <alignment wrapText="1"/>
    </xf>
    <xf numFmtId="4" fontId="14" fillId="2" borderId="763" xfId="0" applyFont="1" applyFill="1" applyBorder="1" applyAlignment="1">
      <alignment wrapText="1"/>
    </xf>
    <xf numFmtId="4" fontId="14" fillId="2" borderId="754" xfId="0" applyFont="1" applyFill="1" applyBorder="1" applyAlignment="1">
      <alignment wrapText="1"/>
    </xf>
    <xf numFmtId="4" fontId="13" fillId="0" borderId="744" xfId="0" applyFont="1" applyBorder="1" applyAlignment="1">
      <alignment wrapText="1"/>
    </xf>
    <xf numFmtId="4" fontId="14" fillId="0" borderId="765" xfId="0" applyFont="1" applyBorder="1" applyAlignment="1">
      <alignment wrapText="1"/>
    </xf>
    <xf numFmtId="4" fontId="13" fillId="0" borderId="753" xfId="0" applyFont="1" applyFill="1" applyBorder="1"/>
    <xf numFmtId="4" fontId="13" fillId="0" borderId="759" xfId="0" applyFont="1" applyFill="1" applyBorder="1"/>
    <xf numFmtId="4" fontId="14" fillId="0" borderId="767" xfId="0" applyFont="1" applyBorder="1" applyAlignment="1">
      <alignment wrapText="1"/>
    </xf>
    <xf numFmtId="4" fontId="14" fillId="2" borderId="768" xfId="0" applyFont="1" applyFill="1" applyBorder="1" applyAlignment="1">
      <alignment wrapText="1"/>
    </xf>
    <xf numFmtId="49" fontId="13" fillId="0" borderId="770" xfId="3" applyNumberFormat="1" applyFont="1" applyBorder="1"/>
    <xf numFmtId="4" fontId="14" fillId="0" borderId="771" xfId="0" applyFont="1" applyBorder="1" applyAlignment="1">
      <alignment wrapText="1"/>
    </xf>
    <xf numFmtId="0" fontId="14" fillId="2" borderId="772" xfId="3" applyFont="1" applyFill="1" applyBorder="1" applyAlignment="1">
      <alignment wrapText="1"/>
    </xf>
    <xf numFmtId="0" fontId="14" fillId="2" borderId="770" xfId="3" applyFont="1" applyFill="1" applyBorder="1" applyAlignment="1">
      <alignment wrapText="1"/>
    </xf>
    <xf numFmtId="0" fontId="14" fillId="2" borderId="773" xfId="3" applyFont="1" applyFill="1" applyBorder="1" applyAlignment="1">
      <alignment wrapText="1"/>
    </xf>
    <xf numFmtId="4" fontId="14" fillId="2" borderId="774" xfId="0" applyFont="1" applyFill="1" applyBorder="1" applyAlignment="1">
      <alignment wrapText="1"/>
    </xf>
    <xf numFmtId="4" fontId="14" fillId="2" borderId="775" xfId="0" applyFont="1" applyFill="1" applyBorder="1" applyAlignment="1">
      <alignment wrapText="1"/>
    </xf>
    <xf numFmtId="4" fontId="13" fillId="0" borderId="770" xfId="0" applyFont="1" applyBorder="1"/>
    <xf numFmtId="4" fontId="14" fillId="2" borderId="772" xfId="0" applyFont="1" applyFill="1" applyBorder="1" applyAlignment="1">
      <alignment wrapText="1"/>
    </xf>
    <xf numFmtId="4" fontId="14" fillId="2" borderId="770" xfId="0" applyFont="1" applyFill="1" applyBorder="1" applyAlignment="1">
      <alignment wrapText="1"/>
    </xf>
    <xf numFmtId="4" fontId="14" fillId="2" borderId="773" xfId="0" applyFont="1" applyFill="1" applyBorder="1" applyAlignment="1">
      <alignment wrapText="1"/>
    </xf>
    <xf numFmtId="4" fontId="13" fillId="0" borderId="759" xfId="0" applyFont="1" applyBorder="1"/>
    <xf numFmtId="4" fontId="14" fillId="2" borderId="726" xfId="0" applyFont="1" applyFill="1" applyBorder="1" applyAlignment="1">
      <alignment wrapText="1"/>
    </xf>
    <xf numFmtId="2" fontId="13" fillId="0" borderId="744" xfId="0" applyNumberFormat="1" applyFont="1" applyBorder="1"/>
    <xf numFmtId="3" fontId="6" fillId="2" borderId="593" xfId="0" applyNumberFormat="1" applyFont="1" applyFill="1" applyBorder="1" applyAlignment="1">
      <alignment horizontal="center" wrapText="1"/>
    </xf>
    <xf numFmtId="3" fontId="6" fillId="2" borderId="578" xfId="0" applyNumberFormat="1" applyFont="1" applyFill="1" applyBorder="1" applyAlignment="1">
      <alignment horizontal="center" wrapText="1"/>
    </xf>
    <xf numFmtId="3" fontId="6" fillId="2" borderId="584" xfId="0" applyNumberFormat="1" applyFont="1" applyFill="1" applyBorder="1" applyAlignment="1">
      <alignment horizontal="center" wrapText="1"/>
    </xf>
    <xf numFmtId="3" fontId="12" fillId="2" borderId="394" xfId="0" applyNumberFormat="1" applyFont="1" applyFill="1" applyBorder="1" applyAlignment="1">
      <alignment wrapText="1"/>
    </xf>
    <xf numFmtId="3" fontId="6" fillId="2" borderId="405" xfId="0" applyNumberFormat="1" applyFont="1" applyFill="1" applyBorder="1" applyAlignment="1">
      <alignment horizontal="center" wrapText="1"/>
    </xf>
    <xf numFmtId="3" fontId="6" fillId="2" borderId="536" xfId="0" applyNumberFormat="1" applyFont="1" applyFill="1" applyBorder="1" applyAlignment="1">
      <alignment horizontal="center" wrapText="1"/>
    </xf>
    <xf numFmtId="3" fontId="6" fillId="2" borderId="537" xfId="0" applyNumberFormat="1" applyFont="1" applyFill="1" applyBorder="1" applyAlignment="1">
      <alignment horizontal="center" wrapText="1"/>
    </xf>
    <xf numFmtId="3" fontId="6" fillId="2" borderId="542" xfId="0" applyNumberFormat="1" applyFont="1" applyFill="1" applyBorder="1" applyAlignment="1">
      <alignment horizontal="center" wrapText="1"/>
    </xf>
    <xf numFmtId="3" fontId="12" fillId="2" borderId="397" xfId="0" applyNumberFormat="1" applyFont="1" applyFill="1" applyBorder="1" applyAlignment="1">
      <alignment wrapText="1"/>
    </xf>
    <xf numFmtId="3" fontId="12" fillId="15" borderId="594" xfId="0" applyNumberFormat="1" applyFont="1" applyFill="1" applyBorder="1" applyAlignment="1">
      <alignment wrapText="1"/>
    </xf>
    <xf numFmtId="3" fontId="12" fillId="2" borderId="381" xfId="0" applyNumberFormat="1" applyFont="1" applyFill="1" applyBorder="1" applyAlignment="1">
      <alignment wrapText="1"/>
    </xf>
    <xf numFmtId="3" fontId="6" fillId="2" borderId="548" xfId="0" applyNumberFormat="1" applyFont="1" applyFill="1" applyBorder="1" applyAlignment="1">
      <alignment horizontal="center" wrapText="1"/>
    </xf>
    <xf numFmtId="3" fontId="6" fillId="2" borderId="554" xfId="0" applyNumberFormat="1" applyFont="1" applyFill="1" applyBorder="1" applyAlignment="1">
      <alignment horizontal="center" wrapText="1"/>
    </xf>
    <xf numFmtId="3" fontId="12" fillId="0" borderId="533" xfId="0" applyNumberFormat="1" applyFont="1" applyBorder="1" applyAlignment="1">
      <alignment wrapText="1"/>
    </xf>
    <xf numFmtId="3" fontId="6" fillId="2" borderId="543" xfId="0" applyNumberFormat="1" applyFont="1" applyFill="1" applyBorder="1" applyAlignment="1">
      <alignment horizontal="center" wrapText="1"/>
    </xf>
    <xf numFmtId="3" fontId="6" fillId="2" borderId="559" xfId="0" applyNumberFormat="1" applyFont="1" applyFill="1" applyBorder="1" applyAlignment="1">
      <alignment horizontal="center" wrapText="1"/>
    </xf>
    <xf numFmtId="3" fontId="6" fillId="2" borderId="642" xfId="0" applyNumberFormat="1" applyFont="1" applyFill="1" applyBorder="1" applyAlignment="1">
      <alignment horizontal="center" wrapText="1"/>
    </xf>
    <xf numFmtId="3" fontId="6" fillId="2" borderId="563" xfId="0" applyNumberFormat="1" applyFont="1" applyFill="1" applyBorder="1" applyAlignment="1">
      <alignment horizontal="center" wrapText="1"/>
    </xf>
    <xf numFmtId="3" fontId="12" fillId="2" borderId="555" xfId="1" applyNumberFormat="1" applyFont="1" applyFill="1" applyBorder="1" applyAlignment="1">
      <alignment horizontal="center"/>
    </xf>
    <xf numFmtId="3" fontId="6" fillId="2" borderId="400" xfId="0" applyNumberFormat="1" applyFont="1" applyFill="1" applyBorder="1" applyAlignment="1">
      <alignment horizontal="center" wrapText="1"/>
    </xf>
    <xf numFmtId="3" fontId="12" fillId="2" borderId="397" xfId="1" applyNumberFormat="1" applyFont="1" applyFill="1" applyBorder="1" applyAlignment="1">
      <alignment horizontal="center"/>
    </xf>
    <xf numFmtId="3" fontId="6" fillId="2" borderId="568" xfId="0" applyNumberFormat="1" applyFont="1" applyFill="1" applyBorder="1" applyAlignment="1">
      <alignment horizontal="center" wrapText="1"/>
    </xf>
    <xf numFmtId="3" fontId="6" fillId="2" borderId="573" xfId="0" applyNumberFormat="1" applyFont="1" applyFill="1" applyBorder="1" applyAlignment="1">
      <alignment horizontal="center" wrapText="1"/>
    </xf>
    <xf numFmtId="3" fontId="12" fillId="2" borderId="394" xfId="1" applyNumberFormat="1" applyFont="1" applyFill="1" applyBorder="1" applyAlignment="1">
      <alignment horizontal="center"/>
    </xf>
    <xf numFmtId="3" fontId="12" fillId="15" borderId="400" xfId="0" applyNumberFormat="1" applyFont="1" applyFill="1" applyBorder="1" applyAlignment="1">
      <alignment wrapText="1"/>
    </xf>
    <xf numFmtId="3" fontId="12" fillId="2" borderId="564" xfId="0" applyNumberFormat="1" applyFont="1" applyFill="1" applyBorder="1" applyAlignment="1">
      <alignment wrapText="1"/>
    </xf>
    <xf numFmtId="3" fontId="12" fillId="15" borderId="611" xfId="1" applyNumberFormat="1" applyFont="1" applyFill="1" applyBorder="1" applyAlignment="1">
      <alignment horizontal="center"/>
    </xf>
    <xf numFmtId="3" fontId="6" fillId="2" borderId="396" xfId="0" applyNumberFormat="1" applyFont="1" applyFill="1" applyBorder="1" applyAlignment="1">
      <alignment horizontal="center" wrapText="1"/>
    </xf>
    <xf numFmtId="3" fontId="6" fillId="2" borderId="574" xfId="0" applyNumberFormat="1" applyFont="1" applyFill="1" applyBorder="1" applyAlignment="1">
      <alignment horizontal="center" wrapText="1"/>
    </xf>
    <xf numFmtId="3" fontId="12" fillId="2" borderId="394" xfId="0" applyNumberFormat="1" applyFont="1" applyFill="1" applyBorder="1"/>
    <xf numFmtId="3" fontId="6" fillId="2" borderId="381" xfId="0" applyNumberFormat="1" applyFont="1" applyFill="1" applyBorder="1" applyAlignment="1">
      <alignment horizontal="center" wrapText="1"/>
    </xf>
    <xf numFmtId="3" fontId="12" fillId="2" borderId="393" xfId="0" applyNumberFormat="1" applyFont="1" applyFill="1" applyBorder="1"/>
    <xf numFmtId="3" fontId="12" fillId="15" borderId="620" xfId="0" applyNumberFormat="1" applyFont="1" applyFill="1" applyBorder="1"/>
    <xf numFmtId="3" fontId="6" fillId="2" borderId="589" xfId="0" applyNumberFormat="1" applyFont="1" applyFill="1" applyBorder="1" applyAlignment="1">
      <alignment horizontal="center" wrapText="1"/>
    </xf>
    <xf numFmtId="3" fontId="6" fillId="2" borderId="498" xfId="0" applyNumberFormat="1" applyFont="1" applyFill="1" applyBorder="1" applyAlignment="1">
      <alignment horizontal="center" wrapText="1"/>
    </xf>
    <xf numFmtId="3" fontId="6" fillId="2" borderId="402" xfId="0" applyNumberFormat="1" applyFont="1" applyFill="1" applyBorder="1" applyAlignment="1">
      <alignment horizontal="center" wrapText="1"/>
    </xf>
    <xf numFmtId="3" fontId="6" fillId="2" borderId="564" xfId="0" applyNumberFormat="1" applyFont="1" applyFill="1" applyBorder="1" applyAlignment="1">
      <alignment horizontal="center" wrapText="1"/>
    </xf>
    <xf numFmtId="3" fontId="12" fillId="2" borderId="574" xfId="0" applyNumberFormat="1" applyFont="1" applyFill="1" applyBorder="1" applyAlignment="1">
      <alignment wrapText="1"/>
    </xf>
    <xf numFmtId="4" fontId="6" fillId="2" borderId="733" xfId="0" applyFont="1" applyFill="1" applyBorder="1" applyAlignment="1">
      <alignment horizontal="center" wrapText="1"/>
    </xf>
    <xf numFmtId="4" fontId="6" fillId="2" borderId="728" xfId="0" applyFont="1" applyFill="1" applyBorder="1" applyAlignment="1">
      <alignment horizontal="center" wrapText="1"/>
    </xf>
    <xf numFmtId="4" fontId="13" fillId="0" borderId="769" xfId="0" applyFont="1" applyBorder="1"/>
    <xf numFmtId="0" fontId="19" fillId="0" borderId="605" xfId="3" applyFont="1" applyBorder="1" applyAlignment="1">
      <alignment horizontal="left"/>
    </xf>
    <xf numFmtId="0" fontId="19" fillId="0" borderId="637" xfId="3" applyFont="1" applyBorder="1" applyAlignment="1">
      <alignment wrapText="1"/>
    </xf>
    <xf numFmtId="165" fontId="12" fillId="2" borderId="6" xfId="1" applyFont="1" applyFill="1" applyBorder="1" applyAlignment="1">
      <alignment horizontal="center"/>
    </xf>
    <xf numFmtId="4" fontId="19" fillId="2" borderId="777" xfId="0" applyFont="1" applyFill="1" applyBorder="1" applyAlignment="1">
      <alignment wrapText="1"/>
    </xf>
    <xf numFmtId="4" fontId="13" fillId="0" borderId="764" xfId="0" applyFont="1" applyFill="1" applyBorder="1" applyAlignment="1">
      <alignment wrapText="1"/>
    </xf>
    <xf numFmtId="49" fontId="13" fillId="0" borderId="496" xfId="6" applyNumberFormat="1" applyFont="1" applyFill="1" applyBorder="1" applyAlignment="1">
      <alignment wrapText="1"/>
    </xf>
    <xf numFmtId="4" fontId="14" fillId="0" borderId="499" xfId="6" applyFont="1" applyFill="1" applyBorder="1" applyAlignment="1">
      <alignment wrapText="1"/>
    </xf>
    <xf numFmtId="4" fontId="13" fillId="0" borderId="478" xfId="0" applyFont="1" applyFill="1" applyBorder="1"/>
    <xf numFmtId="4" fontId="13" fillId="0" borderId="195" xfId="0" applyFont="1" applyFill="1" applyBorder="1"/>
    <xf numFmtId="4" fontId="14" fillId="0" borderId="301" xfId="0" applyFont="1" applyFill="1" applyBorder="1" applyAlignment="1">
      <alignment wrapText="1"/>
    </xf>
    <xf numFmtId="4" fontId="14" fillId="0" borderId="299" xfId="0" applyFont="1" applyFill="1" applyBorder="1" applyAlignment="1">
      <alignment wrapText="1"/>
    </xf>
    <xf numFmtId="4" fontId="12" fillId="0" borderId="297" xfId="0" applyFont="1" applyFill="1" applyBorder="1" applyAlignment="1">
      <alignment wrapText="1"/>
    </xf>
    <xf numFmtId="4" fontId="14" fillId="2" borderId="766" xfId="0" applyFont="1" applyFill="1" applyBorder="1" applyAlignment="1">
      <alignment wrapText="1"/>
    </xf>
    <xf numFmtId="165" fontId="14" fillId="2" borderId="21" xfId="1" applyFont="1" applyFill="1" applyBorder="1" applyAlignment="1">
      <alignment wrapText="1"/>
    </xf>
    <xf numFmtId="4" fontId="13" fillId="0" borderId="6" xfId="0" applyFont="1" applyFill="1" applyBorder="1" applyAlignment="1"/>
    <xf numFmtId="4" fontId="44" fillId="0" borderId="6" xfId="0" applyFont="1" applyBorder="1" applyAlignment="1"/>
    <xf numFmtId="4" fontId="9" fillId="0" borderId="0" xfId="0" applyFont="1" applyBorder="1" applyAlignment="1"/>
    <xf numFmtId="4" fontId="0" fillId="0" borderId="36" xfId="0" applyBorder="1" applyAlignment="1"/>
    <xf numFmtId="1" fontId="15" fillId="0" borderId="0" xfId="0" applyNumberFormat="1" applyFont="1" applyBorder="1" applyAlignment="1">
      <alignment horizontal="left"/>
    </xf>
    <xf numFmtId="4" fontId="0" fillId="0" borderId="645" xfId="0" applyBorder="1"/>
    <xf numFmtId="4" fontId="0" fillId="0" borderId="646" xfId="0" applyBorder="1"/>
    <xf numFmtId="4" fontId="0" fillId="0" borderId="646" xfId="0" applyBorder="1" applyAlignment="1"/>
    <xf numFmtId="4" fontId="0" fillId="0" borderId="647" xfId="0" applyBorder="1"/>
    <xf numFmtId="4" fontId="0" fillId="0" borderId="643" xfId="0" applyBorder="1"/>
    <xf numFmtId="4" fontId="13" fillId="0" borderId="741" xfId="0" applyFont="1" applyFill="1" applyBorder="1" applyAlignment="1">
      <alignment horizontal="left"/>
    </xf>
    <xf numFmtId="4" fontId="12" fillId="0" borderId="648" xfId="0" applyFont="1" applyFill="1" applyBorder="1"/>
    <xf numFmtId="4" fontId="13" fillId="2" borderId="780" xfId="0" applyFont="1" applyFill="1" applyBorder="1" applyAlignment="1">
      <alignment wrapText="1"/>
    </xf>
    <xf numFmtId="4" fontId="6" fillId="2" borderId="781" xfId="0" applyFont="1" applyFill="1" applyBorder="1" applyAlignment="1">
      <alignment horizontal="center" wrapText="1"/>
    </xf>
    <xf numFmtId="4" fontId="6" fillId="2" borderId="782" xfId="0" applyFont="1" applyFill="1" applyBorder="1" applyAlignment="1">
      <alignment horizontal="center" wrapText="1"/>
    </xf>
    <xf numFmtId="4" fontId="6" fillId="2" borderId="783" xfId="0" applyFont="1" applyFill="1" applyBorder="1" applyAlignment="1">
      <alignment horizontal="center" wrapText="1"/>
    </xf>
    <xf numFmtId="4" fontId="6" fillId="2" borderId="784" xfId="0" applyFont="1" applyFill="1" applyBorder="1" applyAlignment="1">
      <alignment horizontal="center" wrapText="1"/>
    </xf>
    <xf numFmtId="4" fontId="6" fillId="2" borderId="785" xfId="0" applyFont="1" applyFill="1" applyBorder="1" applyAlignment="1">
      <alignment horizontal="center" wrapText="1"/>
    </xf>
    <xf numFmtId="3" fontId="6" fillId="2" borderId="785" xfId="0" applyNumberFormat="1" applyFont="1" applyFill="1" applyBorder="1" applyAlignment="1">
      <alignment horizontal="center" wrapText="1"/>
    </xf>
    <xf numFmtId="4" fontId="6" fillId="2" borderId="786" xfId="0" applyFont="1" applyFill="1" applyBorder="1" applyAlignment="1">
      <alignment horizontal="center" wrapText="1"/>
    </xf>
    <xf numFmtId="4" fontId="12" fillId="2" borderId="776" xfId="0" applyFont="1" applyFill="1" applyBorder="1" applyAlignment="1">
      <alignment wrapText="1"/>
    </xf>
    <xf numFmtId="4" fontId="12" fillId="2" borderId="778" xfId="0" applyFont="1" applyFill="1" applyBorder="1" applyAlignment="1">
      <alignment wrapText="1"/>
    </xf>
    <xf numFmtId="4" fontId="12" fillId="2" borderId="787" xfId="0" applyFont="1" applyFill="1" applyBorder="1" applyAlignment="1">
      <alignment wrapText="1"/>
    </xf>
    <xf numFmtId="4" fontId="12" fillId="2" borderId="776" xfId="0" applyFont="1" applyFill="1" applyBorder="1"/>
    <xf numFmtId="4" fontId="12" fillId="2" borderId="787" xfId="0" applyFont="1" applyFill="1" applyBorder="1"/>
    <xf numFmtId="4" fontId="6" fillId="2" borderId="788" xfId="0" applyFont="1" applyFill="1" applyBorder="1" applyAlignment="1">
      <alignment horizontal="center" wrapText="1"/>
    </xf>
    <xf numFmtId="4" fontId="14" fillId="0" borderId="98" xfId="0" applyFont="1" applyBorder="1" applyAlignment="1">
      <alignment wrapText="1"/>
    </xf>
    <xf numFmtId="4" fontId="14" fillId="0" borderId="789" xfId="0" applyFont="1" applyBorder="1" applyAlignment="1">
      <alignment wrapText="1"/>
    </xf>
    <xf numFmtId="4" fontId="14" fillId="0" borderId="790" xfId="0" applyFont="1" applyBorder="1" applyAlignment="1">
      <alignment wrapText="1"/>
    </xf>
    <xf numFmtId="4" fontId="14" fillId="0" borderId="791" xfId="0" applyFont="1" applyBorder="1" applyAlignment="1">
      <alignment wrapText="1"/>
    </xf>
    <xf numFmtId="4" fontId="14" fillId="2" borderId="790" xfId="0" applyFont="1" applyFill="1" applyBorder="1" applyAlignment="1">
      <alignment wrapText="1"/>
    </xf>
    <xf numFmtId="4" fontId="6" fillId="2" borderId="792" xfId="0" applyFont="1" applyFill="1" applyBorder="1" applyAlignment="1">
      <alignment horizontal="center" wrapText="1"/>
    </xf>
    <xf numFmtId="3" fontId="6" fillId="2" borderId="792" xfId="0" applyNumberFormat="1" applyFont="1" applyFill="1" applyBorder="1" applyAlignment="1">
      <alignment horizontal="center" wrapText="1"/>
    </xf>
    <xf numFmtId="4" fontId="6" fillId="2" borderId="793" xfId="0" applyFont="1" applyFill="1" applyBorder="1" applyAlignment="1">
      <alignment horizontal="center" wrapText="1"/>
    </xf>
    <xf numFmtId="4" fontId="14" fillId="2" borderId="794" xfId="0" applyFont="1" applyFill="1" applyBorder="1" applyAlignment="1">
      <alignment wrapText="1"/>
    </xf>
    <xf numFmtId="4" fontId="14" fillId="2" borderId="795" xfId="0" applyFont="1" applyFill="1" applyBorder="1" applyAlignment="1">
      <alignment wrapText="1"/>
    </xf>
    <xf numFmtId="4" fontId="12" fillId="2" borderId="795" xfId="0" applyFont="1" applyFill="1" applyBorder="1" applyAlignment="1">
      <alignment wrapText="1"/>
    </xf>
    <xf numFmtId="4" fontId="14" fillId="2" borderId="796" xfId="0" applyFont="1" applyFill="1" applyBorder="1" applyAlignment="1">
      <alignment wrapText="1"/>
    </xf>
    <xf numFmtId="4" fontId="12" fillId="2" borderId="794" xfId="0" applyFont="1" applyFill="1" applyBorder="1"/>
    <xf numFmtId="4" fontId="12" fillId="2" borderId="796" xfId="0" applyFont="1" applyFill="1" applyBorder="1"/>
    <xf numFmtId="4" fontId="6" fillId="2" borderId="797" xfId="0" applyFont="1" applyFill="1" applyBorder="1" applyAlignment="1">
      <alignment horizontal="center" wrapText="1"/>
    </xf>
    <xf numFmtId="4" fontId="12" fillId="2" borderId="794" xfId="0" applyFont="1" applyFill="1" applyBorder="1" applyAlignment="1">
      <alignment wrapText="1"/>
    </xf>
    <xf numFmtId="4" fontId="14" fillId="2" borderId="787" xfId="0" applyFont="1" applyFill="1" applyBorder="1" applyAlignment="1">
      <alignment wrapText="1"/>
    </xf>
    <xf numFmtId="4" fontId="14" fillId="9" borderId="789" xfId="0" applyFont="1" applyFill="1" applyBorder="1" applyAlignment="1">
      <alignment wrapText="1"/>
    </xf>
    <xf numFmtId="4" fontId="14" fillId="9" borderId="790" xfId="0" applyFont="1" applyFill="1" applyBorder="1" applyAlignment="1">
      <alignment wrapText="1"/>
    </xf>
    <xf numFmtId="4" fontId="14" fillId="9" borderId="791" xfId="0" applyFont="1" applyFill="1" applyBorder="1" applyAlignment="1">
      <alignment wrapText="1"/>
    </xf>
    <xf numFmtId="4" fontId="14" fillId="0" borderId="789" xfId="0" applyFont="1" applyFill="1" applyBorder="1" applyAlignment="1">
      <alignment wrapText="1"/>
    </xf>
    <xf numFmtId="4" fontId="14" fillId="0" borderId="790" xfId="0" applyFont="1" applyFill="1" applyBorder="1" applyAlignment="1">
      <alignment wrapText="1"/>
    </xf>
    <xf numFmtId="4" fontId="14" fillId="0" borderId="791" xfId="0" applyFont="1" applyFill="1" applyBorder="1" applyAlignment="1">
      <alignment wrapText="1"/>
    </xf>
    <xf numFmtId="4" fontId="14" fillId="0" borderId="798" xfId="0" applyFont="1" applyBorder="1" applyAlignment="1">
      <alignment wrapText="1"/>
    </xf>
    <xf numFmtId="4" fontId="14" fillId="0" borderId="799" xfId="0" applyFont="1" applyBorder="1" applyAlignment="1">
      <alignment wrapText="1"/>
    </xf>
    <xf numFmtId="4" fontId="14" fillId="0" borderId="800" xfId="0" applyFont="1" applyBorder="1" applyAlignment="1">
      <alignment wrapText="1"/>
    </xf>
    <xf numFmtId="4" fontId="6" fillId="2" borderId="801" xfId="0" applyFont="1" applyFill="1" applyBorder="1" applyAlignment="1">
      <alignment horizontal="center" wrapText="1"/>
    </xf>
    <xf numFmtId="3" fontId="6" fillId="2" borderId="801" xfId="0" applyNumberFormat="1" applyFont="1" applyFill="1" applyBorder="1" applyAlignment="1">
      <alignment horizontal="center" wrapText="1"/>
    </xf>
    <xf numFmtId="4" fontId="6" fillId="2" borderId="802" xfId="0" applyFont="1" applyFill="1" applyBorder="1" applyAlignment="1">
      <alignment horizontal="center" wrapText="1"/>
    </xf>
    <xf numFmtId="4" fontId="14" fillId="2" borderId="803" xfId="0" applyFont="1" applyFill="1" applyBorder="1" applyAlignment="1">
      <alignment wrapText="1"/>
    </xf>
    <xf numFmtId="4" fontId="14" fillId="2" borderId="804" xfId="0" applyFont="1" applyFill="1" applyBorder="1" applyAlignment="1">
      <alignment wrapText="1"/>
    </xf>
    <xf numFmtId="4" fontId="14" fillId="2" borderId="805" xfId="0" applyFont="1" applyFill="1" applyBorder="1" applyAlignment="1">
      <alignment wrapText="1"/>
    </xf>
    <xf numFmtId="4" fontId="12" fillId="2" borderId="803" xfId="0" applyFont="1" applyFill="1" applyBorder="1"/>
    <xf numFmtId="4" fontId="12" fillId="2" borderId="805" xfId="0" applyFont="1" applyFill="1" applyBorder="1"/>
    <xf numFmtId="4" fontId="6" fillId="2" borderId="806" xfId="0" applyFont="1" applyFill="1" applyBorder="1" applyAlignment="1">
      <alignment horizontal="center" wrapText="1"/>
    </xf>
    <xf numFmtId="4" fontId="12" fillId="0" borderId="622" xfId="0" applyFont="1" applyBorder="1" applyAlignment="1">
      <alignment wrapText="1"/>
    </xf>
    <xf numFmtId="4" fontId="12" fillId="2" borderId="807" xfId="0" applyFont="1" applyFill="1" applyBorder="1" applyAlignment="1">
      <alignment wrapText="1"/>
    </xf>
    <xf numFmtId="4" fontId="12" fillId="2" borderId="808" xfId="0" applyFont="1" applyFill="1" applyBorder="1" applyAlignment="1">
      <alignment wrapText="1"/>
    </xf>
    <xf numFmtId="4" fontId="12" fillId="2" borderId="809" xfId="0" applyFont="1" applyFill="1" applyBorder="1" applyAlignment="1">
      <alignment wrapText="1"/>
    </xf>
    <xf numFmtId="4" fontId="12" fillId="2" borderId="810" xfId="0" applyFont="1" applyFill="1" applyBorder="1" applyAlignment="1">
      <alignment wrapText="1"/>
    </xf>
    <xf numFmtId="3" fontId="12" fillId="2" borderId="810" xfId="0" applyNumberFormat="1" applyFont="1" applyFill="1" applyBorder="1" applyAlignment="1">
      <alignment wrapText="1"/>
    </xf>
    <xf numFmtId="4" fontId="12" fillId="2" borderId="811" xfId="0" applyFont="1" applyFill="1" applyBorder="1" applyAlignment="1">
      <alignment wrapText="1"/>
    </xf>
    <xf numFmtId="4" fontId="12" fillId="2" borderId="812" xfId="0" applyFont="1" applyFill="1" applyBorder="1" applyAlignment="1">
      <alignment wrapText="1"/>
    </xf>
    <xf numFmtId="4" fontId="12" fillId="2" borderId="813" xfId="0" applyFont="1" applyFill="1" applyBorder="1" applyAlignment="1">
      <alignment wrapText="1"/>
    </xf>
    <xf numFmtId="4" fontId="12" fillId="2" borderId="814" xfId="0" applyFont="1" applyFill="1" applyBorder="1" applyAlignment="1">
      <alignment wrapText="1"/>
    </xf>
    <xf numFmtId="4" fontId="12" fillId="2" borderId="815" xfId="0" applyFont="1" applyFill="1" applyBorder="1" applyAlignment="1">
      <alignment wrapText="1"/>
    </xf>
    <xf numFmtId="4" fontId="13" fillId="0" borderId="740" xfId="0" applyFont="1" applyBorder="1"/>
    <xf numFmtId="4" fontId="13" fillId="0" borderId="594" xfId="0" applyFont="1" applyBorder="1"/>
    <xf numFmtId="4" fontId="14" fillId="0" borderId="772" xfId="0" applyFont="1" applyBorder="1" applyAlignment="1">
      <alignment wrapText="1"/>
    </xf>
    <xf numFmtId="4" fontId="14" fillId="0" borderId="770" xfId="0" applyFont="1" applyBorder="1" applyAlignment="1">
      <alignment wrapText="1"/>
    </xf>
    <xf numFmtId="4" fontId="14" fillId="0" borderId="816" xfId="0" applyFont="1" applyBorder="1" applyAlignment="1">
      <alignment wrapText="1"/>
    </xf>
    <xf numFmtId="4" fontId="6" fillId="2" borderId="769" xfId="0" applyFont="1" applyFill="1" applyBorder="1" applyAlignment="1">
      <alignment horizontal="center" wrapText="1"/>
    </xf>
    <xf numFmtId="3" fontId="6" fillId="2" borderId="769" xfId="0" applyNumberFormat="1" applyFont="1" applyFill="1" applyBorder="1" applyAlignment="1">
      <alignment horizontal="center" wrapText="1"/>
    </xf>
    <xf numFmtId="4" fontId="6" fillId="2" borderId="817" xfId="0" applyFont="1" applyFill="1" applyBorder="1" applyAlignment="1">
      <alignment horizontal="center" wrapText="1"/>
    </xf>
    <xf numFmtId="4" fontId="12" fillId="2" borderId="818" xfId="0" applyFont="1" applyFill="1" applyBorder="1" applyAlignment="1">
      <alignment wrapText="1"/>
    </xf>
    <xf numFmtId="4" fontId="12" fillId="2" borderId="819" xfId="0" applyFont="1" applyFill="1" applyBorder="1" applyAlignment="1">
      <alignment wrapText="1"/>
    </xf>
    <xf numFmtId="4" fontId="6" fillId="2" borderId="13" xfId="0" applyFont="1" applyFill="1" applyBorder="1" applyAlignment="1">
      <alignment horizontal="center" wrapText="1"/>
    </xf>
    <xf numFmtId="4" fontId="0" fillId="0" borderId="790" xfId="0" applyBorder="1" applyAlignment="1">
      <alignment wrapText="1"/>
    </xf>
    <xf numFmtId="4" fontId="0" fillId="0" borderId="791" xfId="0" applyBorder="1" applyAlignment="1">
      <alignment wrapText="1"/>
    </xf>
    <xf numFmtId="4" fontId="12" fillId="2" borderId="821" xfId="0" applyFont="1" applyFill="1" applyBorder="1"/>
    <xf numFmtId="3" fontId="6" fillId="2" borderId="504" xfId="0" applyNumberFormat="1" applyFont="1" applyFill="1" applyBorder="1" applyAlignment="1">
      <alignment horizontal="center" wrapText="1"/>
    </xf>
    <xf numFmtId="4" fontId="14" fillId="0" borderId="823" xfId="0" applyFont="1" applyBorder="1" applyAlignment="1">
      <alignment wrapText="1"/>
    </xf>
    <xf numFmtId="4" fontId="14" fillId="0" borderId="824" xfId="0" applyFont="1" applyBorder="1" applyAlignment="1">
      <alignment wrapText="1"/>
    </xf>
    <xf numFmtId="4" fontId="14" fillId="0" borderId="825" xfId="0" applyFont="1" applyBorder="1" applyAlignment="1">
      <alignment wrapText="1"/>
    </xf>
    <xf numFmtId="4" fontId="14" fillId="2" borderId="824" xfId="0" applyFont="1" applyFill="1" applyBorder="1" applyAlignment="1">
      <alignment wrapText="1"/>
    </xf>
    <xf numFmtId="4" fontId="6" fillId="2" borderId="826" xfId="0" applyFont="1" applyFill="1" applyBorder="1" applyAlignment="1">
      <alignment horizontal="center" wrapText="1"/>
    </xf>
    <xf numFmtId="3" fontId="6" fillId="2" borderId="826" xfId="0" applyNumberFormat="1" applyFont="1" applyFill="1" applyBorder="1" applyAlignment="1">
      <alignment horizontal="center" wrapText="1"/>
    </xf>
    <xf numFmtId="4" fontId="6" fillId="2" borderId="827" xfId="0" applyFont="1" applyFill="1" applyBorder="1" applyAlignment="1">
      <alignment horizontal="center" wrapText="1"/>
    </xf>
    <xf numFmtId="4" fontId="14" fillId="2" borderId="776" xfId="0" applyFont="1" applyFill="1" applyBorder="1" applyAlignment="1">
      <alignment wrapText="1"/>
    </xf>
    <xf numFmtId="4" fontId="14" fillId="2" borderId="778" xfId="0" applyFont="1" applyFill="1" applyBorder="1" applyAlignment="1">
      <alignment wrapText="1"/>
    </xf>
    <xf numFmtId="4" fontId="12" fillId="2" borderId="828" xfId="0" applyFont="1" applyFill="1" applyBorder="1" applyAlignment="1">
      <alignment wrapText="1"/>
    </xf>
    <xf numFmtId="4" fontId="12" fillId="2" borderId="822" xfId="0" applyFont="1" applyFill="1" applyBorder="1"/>
    <xf numFmtId="4" fontId="12" fillId="2" borderId="829" xfId="0" applyFont="1" applyFill="1" applyBorder="1"/>
    <xf numFmtId="4" fontId="12" fillId="2" borderId="830" xfId="0" applyFont="1" applyFill="1" applyBorder="1"/>
    <xf numFmtId="4" fontId="6" fillId="2" borderId="831" xfId="0" applyFont="1" applyFill="1" applyBorder="1" applyAlignment="1">
      <alignment horizontal="center" wrapText="1"/>
    </xf>
    <xf numFmtId="4" fontId="14" fillId="2" borderId="832" xfId="0" applyFont="1" applyFill="1" applyBorder="1" applyAlignment="1">
      <alignment wrapText="1"/>
    </xf>
    <xf numFmtId="4" fontId="14" fillId="2" borderId="833" xfId="0" applyFont="1" applyFill="1" applyBorder="1" applyAlignment="1">
      <alignment wrapText="1"/>
    </xf>
    <xf numFmtId="4" fontId="14" fillId="2" borderId="828" xfId="0" applyFont="1" applyFill="1" applyBorder="1" applyAlignment="1">
      <alignment wrapText="1"/>
    </xf>
    <xf numFmtId="4" fontId="14" fillId="9" borderId="823" xfId="0" applyFont="1" applyFill="1" applyBorder="1" applyAlignment="1">
      <alignment wrapText="1"/>
    </xf>
    <xf numFmtId="4" fontId="12" fillId="0" borderId="823" xfId="0" applyFont="1" applyBorder="1" applyAlignment="1">
      <alignment wrapText="1"/>
    </xf>
    <xf numFmtId="4" fontId="12" fillId="0" borderId="824" xfId="0" applyFont="1" applyBorder="1" applyAlignment="1">
      <alignment wrapText="1"/>
    </xf>
    <xf numFmtId="4" fontId="14" fillId="2" borderId="829" xfId="0" applyFont="1" applyFill="1" applyBorder="1" applyAlignment="1">
      <alignment wrapText="1"/>
    </xf>
    <xf numFmtId="4" fontId="14" fillId="2" borderId="830" xfId="0" applyFont="1" applyFill="1" applyBorder="1" applyAlignment="1">
      <alignment wrapText="1"/>
    </xf>
    <xf numFmtId="4" fontId="14" fillId="2" borderId="835" xfId="0" applyFont="1" applyFill="1" applyBorder="1" applyAlignment="1">
      <alignment wrapText="1"/>
    </xf>
    <xf numFmtId="4" fontId="14" fillId="2" borderId="836" xfId="0" applyFont="1" applyFill="1" applyBorder="1" applyAlignment="1">
      <alignment wrapText="1"/>
    </xf>
    <xf numFmtId="165" fontId="14" fillId="2" borderId="776" xfId="1" applyFont="1" applyFill="1" applyBorder="1" applyAlignment="1">
      <alignment wrapText="1"/>
    </xf>
    <xf numFmtId="165" fontId="14" fillId="2" borderId="778" xfId="1" applyFont="1" applyFill="1" applyBorder="1" applyAlignment="1">
      <alignment wrapText="1"/>
    </xf>
    <xf numFmtId="4" fontId="12" fillId="2" borderId="832" xfId="0" applyFont="1" applyFill="1" applyBorder="1" applyAlignment="1">
      <alignment wrapText="1"/>
    </xf>
    <xf numFmtId="4" fontId="14" fillId="2" borderId="838" xfId="0" applyFont="1" applyFill="1" applyBorder="1" applyAlignment="1">
      <alignment wrapText="1"/>
    </xf>
    <xf numFmtId="4" fontId="14" fillId="0" borderId="840" xfId="0" applyFont="1" applyBorder="1" applyAlignment="1">
      <alignment wrapText="1"/>
    </xf>
    <xf numFmtId="4" fontId="14" fillId="0" borderId="841" xfId="0" applyFont="1" applyBorder="1" applyAlignment="1">
      <alignment wrapText="1"/>
    </xf>
    <xf numFmtId="4" fontId="14" fillId="0" borderId="842" xfId="0" applyFont="1" applyBorder="1" applyAlignment="1">
      <alignment wrapText="1"/>
    </xf>
    <xf numFmtId="4" fontId="6" fillId="2" borderId="843" xfId="0" applyFont="1" applyFill="1" applyBorder="1" applyAlignment="1">
      <alignment horizontal="center" wrapText="1"/>
    </xf>
    <xf numFmtId="3" fontId="6" fillId="2" borderId="843" xfId="0" applyNumberFormat="1" applyFont="1" applyFill="1" applyBorder="1" applyAlignment="1">
      <alignment horizontal="center" wrapText="1"/>
    </xf>
    <xf numFmtId="4" fontId="6" fillId="2" borderId="844" xfId="0" applyFont="1" applyFill="1" applyBorder="1" applyAlignment="1">
      <alignment horizontal="center" wrapText="1"/>
    </xf>
    <xf numFmtId="4" fontId="12" fillId="2" borderId="845" xfId="0" applyFont="1" applyFill="1" applyBorder="1" applyAlignment="1">
      <alignment wrapText="1"/>
    </xf>
    <xf numFmtId="4" fontId="12" fillId="2" borderId="846" xfId="0" applyFont="1" applyFill="1" applyBorder="1" applyAlignment="1">
      <alignment wrapText="1"/>
    </xf>
    <xf numFmtId="4" fontId="12" fillId="2" borderId="847" xfId="0" applyFont="1" applyFill="1" applyBorder="1"/>
    <xf numFmtId="4" fontId="12" fillId="2" borderId="846" xfId="0" applyFont="1" applyFill="1" applyBorder="1"/>
    <xf numFmtId="4" fontId="6" fillId="2" borderId="848" xfId="0" applyFont="1" applyFill="1" applyBorder="1" applyAlignment="1">
      <alignment horizontal="center" wrapText="1"/>
    </xf>
    <xf numFmtId="3" fontId="6" fillId="2" borderId="100" xfId="0" applyNumberFormat="1" applyFont="1" applyFill="1" applyBorder="1" applyAlignment="1">
      <alignment horizontal="center" wrapText="1"/>
    </xf>
    <xf numFmtId="4" fontId="6" fillId="2" borderId="100" xfId="0" applyFont="1" applyFill="1" applyBorder="1" applyAlignment="1">
      <alignment horizontal="center" wrapText="1"/>
    </xf>
    <xf numFmtId="4" fontId="12" fillId="0" borderId="849" xfId="0" applyFont="1" applyBorder="1" applyAlignment="1">
      <alignment wrapText="1"/>
    </xf>
    <xf numFmtId="4" fontId="12" fillId="0" borderId="808" xfId="0" applyFont="1" applyBorder="1" applyAlignment="1">
      <alignment wrapText="1"/>
    </xf>
    <xf numFmtId="4" fontId="12" fillId="0" borderId="807" xfId="0" applyFont="1" applyBorder="1" applyAlignment="1">
      <alignment wrapText="1"/>
    </xf>
    <xf numFmtId="4" fontId="12" fillId="0" borderId="809" xfId="0" applyFont="1" applyBorder="1" applyAlignment="1">
      <alignment wrapText="1"/>
    </xf>
    <xf numFmtId="4" fontId="13" fillId="0" borderId="850" xfId="0" applyFont="1" applyBorder="1"/>
    <xf numFmtId="4" fontId="12" fillId="2" borderId="779" xfId="0" applyFont="1" applyFill="1" applyBorder="1" applyAlignment="1">
      <alignment wrapText="1"/>
    </xf>
    <xf numFmtId="4" fontId="12" fillId="2" borderId="851" xfId="0" applyFont="1" applyFill="1" applyBorder="1" applyAlignment="1">
      <alignment wrapText="1"/>
    </xf>
    <xf numFmtId="4" fontId="12" fillId="2" borderId="779" xfId="0" applyFont="1" applyFill="1" applyBorder="1"/>
    <xf numFmtId="4" fontId="6" fillId="2" borderId="852" xfId="0" applyFont="1" applyFill="1" applyBorder="1" applyAlignment="1">
      <alignment horizontal="center" wrapText="1"/>
    </xf>
    <xf numFmtId="3" fontId="6" fillId="2" borderId="853" xfId="0" applyNumberFormat="1" applyFont="1" applyFill="1" applyBorder="1" applyAlignment="1">
      <alignment horizontal="center" wrapText="1"/>
    </xf>
    <xf numFmtId="4" fontId="6" fillId="2" borderId="853" xfId="0" applyFont="1" applyFill="1" applyBorder="1" applyAlignment="1">
      <alignment horizontal="center" wrapText="1"/>
    </xf>
    <xf numFmtId="4" fontId="12" fillId="3" borderId="854" xfId="0" applyFont="1" applyFill="1" applyBorder="1"/>
    <xf numFmtId="4" fontId="13" fillId="3" borderId="824" xfId="0" applyFont="1" applyFill="1" applyBorder="1"/>
    <xf numFmtId="4" fontId="12" fillId="3" borderId="837" xfId="0" applyFont="1" applyFill="1" applyBorder="1"/>
    <xf numFmtId="4" fontId="12" fillId="3" borderId="823" xfId="0" applyFont="1" applyFill="1" applyBorder="1"/>
    <xf numFmtId="4" fontId="12" fillId="3" borderId="824" xfId="0" applyFont="1" applyFill="1" applyBorder="1"/>
    <xf numFmtId="4" fontId="12" fillId="3" borderId="825" xfId="0" applyFont="1" applyFill="1" applyBorder="1"/>
    <xf numFmtId="4" fontId="12" fillId="3" borderId="834" xfId="0" applyFont="1" applyFill="1" applyBorder="1"/>
    <xf numFmtId="4" fontId="12" fillId="2" borderId="504" xfId="0" applyFont="1" applyFill="1" applyBorder="1" applyAlignment="1">
      <alignment wrapText="1"/>
    </xf>
    <xf numFmtId="3" fontId="12" fillId="2" borderId="504" xfId="0" applyNumberFormat="1" applyFont="1" applyFill="1" applyBorder="1" applyAlignment="1">
      <alignment wrapText="1"/>
    </xf>
    <xf numFmtId="4" fontId="12" fillId="2" borderId="855" xfId="0" applyFont="1" applyFill="1" applyBorder="1" applyAlignment="1">
      <alignment wrapText="1"/>
    </xf>
    <xf numFmtId="4" fontId="12" fillId="2" borderId="856" xfId="0" applyFont="1" applyFill="1" applyBorder="1" applyAlignment="1">
      <alignment wrapText="1"/>
    </xf>
    <xf numFmtId="4" fontId="12" fillId="2" borderId="855" xfId="0" applyFont="1" applyFill="1" applyBorder="1"/>
    <xf numFmtId="4" fontId="0" fillId="0" borderId="823" xfId="0" applyBorder="1" applyAlignment="1">
      <alignment wrapText="1"/>
    </xf>
    <xf numFmtId="4" fontId="0" fillId="0" borderId="824" xfId="0" applyBorder="1" applyAlignment="1">
      <alignment wrapText="1"/>
    </xf>
    <xf numFmtId="4" fontId="0" fillId="0" borderId="825" xfId="0" applyBorder="1" applyAlignment="1">
      <alignment wrapText="1"/>
    </xf>
    <xf numFmtId="4" fontId="14" fillId="2" borderId="837" xfId="0" applyFont="1" applyFill="1" applyBorder="1" applyAlignment="1">
      <alignment wrapText="1"/>
    </xf>
    <xf numFmtId="4" fontId="12" fillId="0" borderId="857" xfId="0" applyFont="1" applyBorder="1" applyAlignment="1">
      <alignment wrapText="1"/>
    </xf>
    <xf numFmtId="165" fontId="14" fillId="2" borderId="829" xfId="1" applyFont="1" applyFill="1" applyBorder="1" applyAlignment="1">
      <alignment wrapText="1"/>
    </xf>
    <xf numFmtId="165" fontId="14" fillId="2" borderId="832" xfId="1" applyFont="1" applyFill="1" applyBorder="1" applyAlignment="1">
      <alignment wrapText="1"/>
    </xf>
    <xf numFmtId="4" fontId="14" fillId="0" borderId="859" xfId="0" applyFont="1" applyBorder="1" applyAlignment="1">
      <alignment wrapText="1"/>
    </xf>
    <xf numFmtId="4" fontId="14" fillId="0" borderId="860" xfId="0" applyFont="1" applyBorder="1" applyAlignment="1">
      <alignment wrapText="1"/>
    </xf>
    <xf numFmtId="4" fontId="14" fillId="0" borderId="861" xfId="0" applyFont="1" applyBorder="1" applyAlignment="1">
      <alignment wrapText="1"/>
    </xf>
    <xf numFmtId="4" fontId="6" fillId="2" borderId="862" xfId="0" applyFont="1" applyFill="1" applyBorder="1" applyAlignment="1">
      <alignment horizontal="center" wrapText="1"/>
    </xf>
    <xf numFmtId="3" fontId="6" fillId="2" borderId="862" xfId="0" applyNumberFormat="1" applyFont="1" applyFill="1" applyBorder="1" applyAlignment="1">
      <alignment horizontal="center" wrapText="1"/>
    </xf>
    <xf numFmtId="4" fontId="6" fillId="2" borderId="863" xfId="0" applyFont="1" applyFill="1" applyBorder="1" applyAlignment="1">
      <alignment horizontal="center" wrapText="1"/>
    </xf>
    <xf numFmtId="4" fontId="14" fillId="2" borderId="864" xfId="0" applyFont="1" applyFill="1" applyBorder="1" applyAlignment="1">
      <alignment wrapText="1"/>
    </xf>
    <xf numFmtId="4" fontId="14" fillId="2" borderId="865" xfId="0" applyFont="1" applyFill="1" applyBorder="1" applyAlignment="1">
      <alignment wrapText="1"/>
    </xf>
    <xf numFmtId="4" fontId="14" fillId="2" borderId="866" xfId="0" applyFont="1" applyFill="1" applyBorder="1" applyAlignment="1">
      <alignment wrapText="1"/>
    </xf>
    <xf numFmtId="4" fontId="12" fillId="2" borderId="866" xfId="0" applyFont="1" applyFill="1" applyBorder="1" applyAlignment="1">
      <alignment wrapText="1"/>
    </xf>
    <xf numFmtId="4" fontId="14" fillId="2" borderId="867" xfId="0" applyFont="1" applyFill="1" applyBorder="1" applyAlignment="1">
      <alignment wrapText="1"/>
    </xf>
    <xf numFmtId="4" fontId="12" fillId="2" borderId="868" xfId="0" applyFont="1" applyFill="1" applyBorder="1"/>
    <xf numFmtId="4" fontId="12" fillId="2" borderId="867" xfId="0" applyFont="1" applyFill="1" applyBorder="1"/>
    <xf numFmtId="4" fontId="6" fillId="2" borderId="869" xfId="0" applyFont="1" applyFill="1" applyBorder="1" applyAlignment="1">
      <alignment horizontal="center" wrapText="1"/>
    </xf>
    <xf numFmtId="3" fontId="6" fillId="2" borderId="870" xfId="0" applyNumberFormat="1" applyFont="1" applyFill="1" applyBorder="1" applyAlignment="1">
      <alignment horizontal="center" wrapText="1"/>
    </xf>
    <xf numFmtId="4" fontId="6" fillId="2" borderId="870" xfId="0" applyFont="1" applyFill="1" applyBorder="1" applyAlignment="1">
      <alignment horizontal="center" wrapText="1"/>
    </xf>
    <xf numFmtId="4" fontId="12" fillId="0" borderId="871" xfId="0" applyFont="1" applyBorder="1"/>
    <xf numFmtId="4" fontId="12" fillId="0" borderId="872" xfId="0" applyFont="1" applyBorder="1" applyAlignment="1">
      <alignment wrapText="1"/>
    </xf>
    <xf numFmtId="4" fontId="12" fillId="0" borderId="873" xfId="0" applyFont="1" applyBorder="1" applyAlignment="1">
      <alignment wrapText="1"/>
    </xf>
    <xf numFmtId="4" fontId="12" fillId="0" borderId="874" xfId="0" applyFont="1" applyBorder="1" applyAlignment="1">
      <alignment wrapText="1"/>
    </xf>
    <xf numFmtId="4" fontId="6" fillId="2" borderId="875" xfId="0" applyFont="1" applyFill="1" applyBorder="1" applyAlignment="1">
      <alignment horizontal="center" wrapText="1"/>
    </xf>
    <xf numFmtId="3" fontId="6" fillId="2" borderId="875" xfId="0" applyNumberFormat="1" applyFont="1" applyFill="1" applyBorder="1" applyAlignment="1">
      <alignment horizontal="center" wrapText="1"/>
    </xf>
    <xf numFmtId="4" fontId="6" fillId="2" borderId="876" xfId="0" applyFont="1" applyFill="1" applyBorder="1" applyAlignment="1">
      <alignment horizontal="center" wrapText="1"/>
    </xf>
    <xf numFmtId="4" fontId="12" fillId="2" borderId="877" xfId="0" applyFont="1" applyFill="1" applyBorder="1" applyAlignment="1">
      <alignment wrapText="1"/>
    </xf>
    <xf numFmtId="4" fontId="12" fillId="2" borderId="878" xfId="0" applyFont="1" applyFill="1" applyBorder="1" applyAlignment="1">
      <alignment wrapText="1"/>
    </xf>
    <xf numFmtId="4" fontId="12" fillId="2" borderId="879" xfId="0" applyFont="1" applyFill="1" applyBorder="1" applyAlignment="1">
      <alignment wrapText="1"/>
    </xf>
    <xf numFmtId="4" fontId="12" fillId="2" borderId="879" xfId="0" applyFont="1" applyFill="1" applyBorder="1"/>
    <xf numFmtId="4" fontId="6" fillId="2" borderId="880" xfId="0" applyFont="1" applyFill="1" applyBorder="1" applyAlignment="1">
      <alignment horizontal="center" wrapText="1"/>
    </xf>
    <xf numFmtId="3" fontId="12" fillId="0" borderId="622" xfId="0" applyNumberFormat="1" applyFont="1" applyBorder="1" applyAlignment="1">
      <alignment wrapText="1"/>
    </xf>
    <xf numFmtId="3" fontId="12" fillId="0" borderId="772" xfId="0" applyNumberFormat="1" applyFont="1" applyBorder="1" applyAlignment="1">
      <alignment wrapText="1"/>
    </xf>
    <xf numFmtId="3" fontId="12" fillId="0" borderId="770" xfId="0" applyNumberFormat="1" applyFont="1" applyBorder="1" applyAlignment="1">
      <alignment wrapText="1"/>
    </xf>
    <xf numFmtId="3" fontId="12" fillId="0" borderId="816" xfId="0" applyNumberFormat="1" applyFont="1" applyBorder="1" applyAlignment="1">
      <alignment wrapText="1"/>
    </xf>
    <xf numFmtId="4" fontId="14" fillId="0" borderId="881" xfId="0" applyFont="1" applyBorder="1" applyAlignment="1">
      <alignment wrapText="1"/>
    </xf>
    <xf numFmtId="4" fontId="14" fillId="0" borderId="882" xfId="0" applyFont="1" applyBorder="1" applyAlignment="1">
      <alignment wrapText="1"/>
    </xf>
    <xf numFmtId="4" fontId="14" fillId="0" borderId="883" xfId="0" applyFont="1" applyBorder="1" applyAlignment="1">
      <alignment wrapText="1"/>
    </xf>
    <xf numFmtId="4" fontId="12" fillId="2" borderId="818" xfId="0" applyFont="1" applyFill="1" applyBorder="1"/>
    <xf numFmtId="4" fontId="6" fillId="2" borderId="884" xfId="0" applyFont="1" applyFill="1" applyBorder="1" applyAlignment="1">
      <alignment horizontal="center" wrapText="1"/>
    </xf>
    <xf numFmtId="3" fontId="6" fillId="2" borderId="884" xfId="0" applyNumberFormat="1" applyFont="1" applyFill="1" applyBorder="1" applyAlignment="1">
      <alignment horizontal="center" wrapText="1"/>
    </xf>
    <xf numFmtId="4" fontId="12" fillId="2" borderId="885" xfId="0" applyFont="1" applyFill="1" applyBorder="1" applyAlignment="1">
      <alignment wrapText="1"/>
    </xf>
    <xf numFmtId="4" fontId="12" fillId="2" borderId="886" xfId="0" applyFont="1" applyFill="1" applyBorder="1" applyAlignment="1">
      <alignment wrapText="1"/>
    </xf>
    <xf numFmtId="4" fontId="12" fillId="2" borderId="887" xfId="0" applyFont="1" applyFill="1" applyBorder="1" applyAlignment="1">
      <alignment wrapText="1"/>
    </xf>
    <xf numFmtId="4" fontId="12" fillId="2" borderId="887" xfId="0" applyFont="1" applyFill="1" applyBorder="1"/>
    <xf numFmtId="4" fontId="14" fillId="0" borderId="888" xfId="0" applyFont="1" applyBorder="1" applyAlignment="1">
      <alignment wrapText="1"/>
    </xf>
    <xf numFmtId="4" fontId="14" fillId="9" borderId="881" xfId="6" applyFont="1" applyFill="1" applyBorder="1" applyAlignment="1">
      <alignment wrapText="1"/>
    </xf>
    <xf numFmtId="4" fontId="14" fillId="9" borderId="882" xfId="6" applyFont="1" applyFill="1" applyBorder="1" applyAlignment="1">
      <alignment wrapText="1"/>
    </xf>
    <xf numFmtId="4" fontId="14" fillId="2" borderId="882" xfId="0" applyFont="1" applyFill="1" applyBorder="1" applyAlignment="1">
      <alignment wrapText="1"/>
    </xf>
    <xf numFmtId="4" fontId="6" fillId="2" borderId="889" xfId="0" applyFont="1" applyFill="1" applyBorder="1" applyAlignment="1">
      <alignment horizontal="center" wrapText="1"/>
    </xf>
    <xf numFmtId="4" fontId="12" fillId="2" borderId="868" xfId="0" applyFont="1" applyFill="1" applyBorder="1" applyAlignment="1">
      <alignment wrapText="1"/>
    </xf>
    <xf numFmtId="4" fontId="12" fillId="2" borderId="867" xfId="0" applyFont="1" applyFill="1" applyBorder="1" applyAlignment="1">
      <alignment wrapText="1"/>
    </xf>
    <xf numFmtId="4" fontId="14" fillId="2" borderId="868" xfId="0" applyFont="1" applyFill="1" applyBorder="1" applyAlignment="1">
      <alignment wrapText="1"/>
    </xf>
    <xf numFmtId="4" fontId="14" fillId="0" borderId="881" xfId="6" applyFont="1" applyFill="1" applyBorder="1" applyAlignment="1">
      <alignment wrapText="1"/>
    </xf>
    <xf numFmtId="4" fontId="14" fillId="2" borderId="882" xfId="6" applyFont="1" applyFill="1" applyBorder="1" applyAlignment="1">
      <alignment wrapText="1"/>
    </xf>
    <xf numFmtId="4" fontId="12" fillId="0" borderId="850" xfId="0" applyFont="1" applyBorder="1"/>
    <xf numFmtId="4" fontId="14" fillId="0" borderId="872" xfId="0" applyFont="1" applyBorder="1" applyAlignment="1">
      <alignment wrapText="1"/>
    </xf>
    <xf numFmtId="4" fontId="14" fillId="0" borderId="873" xfId="0" applyFont="1" applyBorder="1" applyAlignment="1">
      <alignment wrapText="1"/>
    </xf>
    <xf numFmtId="4" fontId="14" fillId="0" borderId="874" xfId="0" applyFont="1" applyBorder="1" applyAlignment="1">
      <alignment wrapText="1"/>
    </xf>
    <xf numFmtId="4" fontId="14" fillId="2" borderId="877" xfId="0" applyFont="1" applyFill="1" applyBorder="1" applyAlignment="1">
      <alignment wrapText="1"/>
    </xf>
    <xf numFmtId="4" fontId="14" fillId="2" borderId="878" xfId="0" applyFont="1" applyFill="1" applyBorder="1" applyAlignment="1">
      <alignment wrapText="1"/>
    </xf>
    <xf numFmtId="4" fontId="14" fillId="2" borderId="879" xfId="0" applyFont="1" applyFill="1" applyBorder="1" applyAlignment="1">
      <alignment wrapText="1"/>
    </xf>
    <xf numFmtId="4" fontId="12" fillId="2" borderId="877" xfId="0" applyFont="1" applyFill="1" applyBorder="1"/>
    <xf numFmtId="165" fontId="13" fillId="0" borderId="890" xfId="1" applyFont="1" applyBorder="1" applyAlignment="1">
      <alignment horizontal="center"/>
    </xf>
    <xf numFmtId="165" fontId="12" fillId="0" borderId="807" xfId="1" applyFont="1" applyBorder="1" applyAlignment="1">
      <alignment horizontal="center"/>
    </xf>
    <xf numFmtId="165" fontId="12" fillId="0" borderId="808" xfId="1" applyFont="1" applyBorder="1" applyAlignment="1">
      <alignment horizontal="center"/>
    </xf>
    <xf numFmtId="165" fontId="12" fillId="0" borderId="809" xfId="1" applyFont="1" applyBorder="1" applyAlignment="1">
      <alignment horizontal="center"/>
    </xf>
    <xf numFmtId="165" fontId="12" fillId="2" borderId="810" xfId="1" applyFont="1" applyFill="1" applyBorder="1" applyAlignment="1">
      <alignment horizontal="center"/>
    </xf>
    <xf numFmtId="3" fontId="12" fillId="2" borderId="810" xfId="1" applyNumberFormat="1" applyFont="1" applyFill="1" applyBorder="1" applyAlignment="1">
      <alignment horizontal="center"/>
    </xf>
    <xf numFmtId="165" fontId="12" fillId="2" borderId="811" xfId="1" applyFont="1" applyFill="1" applyBorder="1" applyAlignment="1">
      <alignment horizontal="center"/>
    </xf>
    <xf numFmtId="165" fontId="12" fillId="2" borderId="812" xfId="1" applyFont="1" applyFill="1" applyBorder="1" applyAlignment="1">
      <alignment horizontal="center"/>
    </xf>
    <xf numFmtId="165" fontId="12" fillId="2" borderId="813" xfId="1" applyFont="1" applyFill="1" applyBorder="1" applyAlignment="1">
      <alignment horizontal="center"/>
    </xf>
    <xf numFmtId="165" fontId="12" fillId="2" borderId="814" xfId="1" applyFont="1" applyFill="1" applyBorder="1" applyAlignment="1">
      <alignment horizontal="center"/>
    </xf>
    <xf numFmtId="165" fontId="12" fillId="2" borderId="815" xfId="1" applyFont="1" applyFill="1" applyBorder="1" applyAlignment="1">
      <alignment horizontal="center"/>
    </xf>
    <xf numFmtId="4" fontId="0" fillId="0" borderId="881" xfId="0" applyBorder="1" applyAlignment="1">
      <alignment wrapText="1"/>
    </xf>
    <xf numFmtId="4" fontId="0" fillId="0" borderId="882" xfId="0" applyBorder="1" applyAlignment="1">
      <alignment wrapText="1"/>
    </xf>
    <xf numFmtId="4" fontId="0" fillId="0" borderId="883" xfId="0" applyBorder="1" applyAlignment="1">
      <alignment wrapText="1"/>
    </xf>
    <xf numFmtId="4" fontId="0" fillId="0" borderId="892" xfId="0" applyBorder="1" applyAlignment="1">
      <alignment wrapText="1"/>
    </xf>
    <xf numFmtId="4" fontId="12" fillId="2" borderId="893" xfId="0" applyFont="1" applyFill="1" applyBorder="1" applyAlignment="1">
      <alignment wrapText="1"/>
    </xf>
    <xf numFmtId="4" fontId="12" fillId="2" borderId="894" xfId="0" applyFont="1" applyFill="1" applyBorder="1" applyAlignment="1">
      <alignment wrapText="1"/>
    </xf>
    <xf numFmtId="4" fontId="12" fillId="2" borderId="893" xfId="0" applyFont="1" applyFill="1" applyBorder="1"/>
    <xf numFmtId="3" fontId="6" fillId="2" borderId="895" xfId="0" applyNumberFormat="1" applyFont="1" applyFill="1" applyBorder="1" applyAlignment="1">
      <alignment horizontal="center" wrapText="1"/>
    </xf>
    <xf numFmtId="4" fontId="6" fillId="2" borderId="895" xfId="0" applyFont="1" applyFill="1" applyBorder="1" applyAlignment="1">
      <alignment horizontal="center" wrapText="1"/>
    </xf>
    <xf numFmtId="4" fontId="14" fillId="0" borderId="98" xfId="0" applyFont="1" applyBorder="1"/>
    <xf numFmtId="4" fontId="14" fillId="0" borderId="497" xfId="0" applyFont="1" applyBorder="1"/>
    <xf numFmtId="4" fontId="14" fillId="2" borderId="888" xfId="0" applyFont="1" applyFill="1" applyBorder="1" applyAlignment="1">
      <alignment wrapText="1"/>
    </xf>
    <xf numFmtId="165" fontId="14" fillId="2" borderId="868" xfId="8" applyFont="1" applyFill="1" applyBorder="1" applyAlignment="1">
      <alignment wrapText="1"/>
    </xf>
    <xf numFmtId="165" fontId="14" fillId="2" borderId="866" xfId="8" applyFont="1" applyFill="1" applyBorder="1" applyAlignment="1">
      <alignment wrapText="1"/>
    </xf>
    <xf numFmtId="4" fontId="14" fillId="0" borderId="881" xfId="6" applyFont="1" applyBorder="1" applyAlignment="1">
      <alignment wrapText="1"/>
    </xf>
    <xf numFmtId="4" fontId="14" fillId="0" borderId="882" xfId="6" applyFont="1" applyBorder="1" applyAlignment="1">
      <alignment wrapText="1"/>
    </xf>
    <xf numFmtId="4" fontId="14" fillId="9" borderId="881" xfId="0" applyFont="1" applyFill="1" applyBorder="1" applyAlignment="1">
      <alignment wrapText="1"/>
    </xf>
    <xf numFmtId="4" fontId="14" fillId="9" borderId="882" xfId="0" applyFont="1" applyFill="1" applyBorder="1" applyAlignment="1">
      <alignment wrapText="1"/>
    </xf>
    <xf numFmtId="4" fontId="13" fillId="0" borderId="853" xfId="0" applyFont="1" applyBorder="1"/>
    <xf numFmtId="4" fontId="13" fillId="0" borderId="898" xfId="0" applyFont="1" applyBorder="1"/>
    <xf numFmtId="4" fontId="14" fillId="0" borderId="871" xfId="0" applyFont="1" applyBorder="1" applyAlignment="1">
      <alignment wrapText="1"/>
    </xf>
    <xf numFmtId="165" fontId="12" fillId="0" borderId="622" xfId="1" applyFont="1" applyBorder="1" applyAlignment="1">
      <alignment horizontal="center"/>
    </xf>
    <xf numFmtId="4" fontId="12" fillId="15" borderId="899" xfId="0" applyFont="1" applyFill="1" applyBorder="1" applyAlignment="1">
      <alignment wrapText="1"/>
    </xf>
    <xf numFmtId="4" fontId="13" fillId="15" borderId="896" xfId="0" applyFont="1" applyFill="1" applyBorder="1"/>
    <xf numFmtId="4" fontId="14" fillId="15" borderId="897" xfId="0" applyFont="1" applyFill="1" applyBorder="1" applyAlignment="1">
      <alignment wrapText="1"/>
    </xf>
    <xf numFmtId="4" fontId="14" fillId="15" borderId="900" xfId="0" applyFont="1" applyFill="1" applyBorder="1" applyAlignment="1">
      <alignment wrapText="1"/>
    </xf>
    <xf numFmtId="4" fontId="14" fillId="15" borderId="896" xfId="0" applyFont="1" applyFill="1" applyBorder="1" applyAlignment="1">
      <alignment wrapText="1"/>
    </xf>
    <xf numFmtId="4" fontId="14" fillId="15" borderId="901" xfId="0" applyFont="1" applyFill="1" applyBorder="1" applyAlignment="1">
      <alignment wrapText="1"/>
    </xf>
    <xf numFmtId="4" fontId="14" fillId="15" borderId="902" xfId="0" applyFont="1" applyFill="1" applyBorder="1" applyAlignment="1">
      <alignment wrapText="1"/>
    </xf>
    <xf numFmtId="4" fontId="12" fillId="15" borderId="853" xfId="0" applyFont="1" applyFill="1" applyBorder="1" applyAlignment="1">
      <alignment wrapText="1"/>
    </xf>
    <xf numFmtId="3" fontId="12" fillId="15" borderId="853" xfId="0" applyNumberFormat="1" applyFont="1" applyFill="1" applyBorder="1" applyAlignment="1">
      <alignment wrapText="1"/>
    </xf>
    <xf numFmtId="4" fontId="12" fillId="15" borderId="903" xfId="0" applyFont="1" applyFill="1" applyBorder="1" applyAlignment="1">
      <alignment wrapText="1"/>
    </xf>
    <xf numFmtId="4" fontId="12" fillId="15" borderId="904" xfId="0" applyFont="1" applyFill="1" applyBorder="1" applyAlignment="1">
      <alignment wrapText="1"/>
    </xf>
    <xf numFmtId="4" fontId="12" fillId="15" borderId="905" xfId="0" applyFont="1" applyFill="1" applyBorder="1" applyAlignment="1">
      <alignment wrapText="1"/>
    </xf>
    <xf numFmtId="4" fontId="12" fillId="15" borderId="906" xfId="0" applyFont="1" applyFill="1" applyBorder="1" applyAlignment="1">
      <alignment wrapText="1"/>
    </xf>
    <xf numFmtId="4" fontId="12" fillId="15" borderId="779" xfId="0" applyFont="1" applyFill="1" applyBorder="1" applyAlignment="1">
      <alignment wrapText="1"/>
    </xf>
    <xf numFmtId="4" fontId="12" fillId="15" borderId="851" xfId="0" applyFont="1" applyFill="1" applyBorder="1" applyAlignment="1">
      <alignment wrapText="1"/>
    </xf>
    <xf numFmtId="4" fontId="12" fillId="15" borderId="852" xfId="0" applyFont="1" applyFill="1" applyBorder="1" applyAlignment="1">
      <alignment wrapText="1"/>
    </xf>
    <xf numFmtId="4" fontId="13" fillId="0" borderId="907" xfId="0" applyFont="1" applyBorder="1"/>
    <xf numFmtId="4" fontId="13" fillId="0" borderId="882" xfId="0" applyFont="1" applyBorder="1"/>
    <xf numFmtId="4" fontId="12" fillId="2" borderId="858" xfId="0" applyFont="1" applyFill="1" applyBorder="1" applyAlignment="1">
      <alignment wrapText="1"/>
    </xf>
    <xf numFmtId="3" fontId="12" fillId="2" borderId="858" xfId="0" applyNumberFormat="1" applyFont="1" applyFill="1" applyBorder="1" applyAlignment="1">
      <alignment wrapText="1"/>
    </xf>
    <xf numFmtId="4" fontId="12" fillId="2" borderId="908" xfId="0" applyFont="1" applyFill="1" applyBorder="1" applyAlignment="1">
      <alignment wrapText="1"/>
    </xf>
    <xf numFmtId="4" fontId="12" fillId="2" borderId="909" xfId="0" applyFont="1" applyFill="1" applyBorder="1" applyAlignment="1">
      <alignment wrapText="1"/>
    </xf>
    <xf numFmtId="4" fontId="12" fillId="2" borderId="908" xfId="0" applyFont="1" applyFill="1" applyBorder="1"/>
    <xf numFmtId="3" fontId="12" fillId="2" borderId="910" xfId="0" applyNumberFormat="1" applyFont="1" applyFill="1" applyBorder="1" applyAlignment="1">
      <alignment wrapText="1"/>
    </xf>
    <xf numFmtId="4" fontId="12" fillId="2" borderId="910" xfId="0" applyFont="1" applyFill="1" applyBorder="1" applyAlignment="1">
      <alignment wrapText="1"/>
    </xf>
    <xf numFmtId="4" fontId="12" fillId="3" borderId="911" xfId="0" applyFont="1" applyFill="1" applyBorder="1"/>
    <xf numFmtId="4" fontId="12" fillId="3" borderId="912" xfId="0" applyFont="1" applyFill="1" applyBorder="1"/>
    <xf numFmtId="4" fontId="12" fillId="3" borderId="913" xfId="0" applyFont="1" applyFill="1" applyBorder="1"/>
    <xf numFmtId="4" fontId="12" fillId="3" borderId="914" xfId="0" applyFont="1" applyFill="1" applyBorder="1"/>
    <xf numFmtId="4" fontId="12" fillId="3" borderId="915" xfId="0" applyFont="1" applyFill="1" applyBorder="1"/>
    <xf numFmtId="4" fontId="12" fillId="3" borderId="916" xfId="0" applyFont="1" applyFill="1" applyBorder="1"/>
    <xf numFmtId="4" fontId="12" fillId="2" borderId="917" xfId="0" applyFont="1" applyFill="1" applyBorder="1" applyAlignment="1">
      <alignment wrapText="1"/>
    </xf>
    <xf numFmtId="4" fontId="12" fillId="2" borderId="918" xfId="0" applyFont="1" applyFill="1" applyBorder="1" applyAlignment="1">
      <alignment wrapText="1"/>
    </xf>
    <xf numFmtId="4" fontId="0" fillId="0" borderId="914" xfId="0" applyBorder="1" applyAlignment="1">
      <alignment wrapText="1"/>
    </xf>
    <xf numFmtId="4" fontId="0" fillId="0" borderId="912" xfId="0" applyBorder="1" applyAlignment="1">
      <alignment wrapText="1"/>
    </xf>
    <xf numFmtId="4" fontId="0" fillId="0" borderId="915" xfId="0" applyBorder="1" applyAlignment="1">
      <alignment wrapText="1"/>
    </xf>
    <xf numFmtId="4" fontId="12" fillId="2" borderId="895" xfId="0" applyFont="1" applyFill="1" applyBorder="1" applyAlignment="1">
      <alignment wrapText="1"/>
    </xf>
    <xf numFmtId="3" fontId="12" fillId="2" borderId="895" xfId="0" applyNumberFormat="1" applyFont="1" applyFill="1" applyBorder="1" applyAlignment="1">
      <alignment wrapText="1"/>
    </xf>
    <xf numFmtId="4" fontId="12" fillId="2" borderId="920" xfId="0" applyFont="1" applyFill="1" applyBorder="1" applyAlignment="1">
      <alignment wrapText="1"/>
    </xf>
    <xf numFmtId="4" fontId="12" fillId="2" borderId="921" xfId="0" applyFont="1" applyFill="1" applyBorder="1" applyAlignment="1">
      <alignment wrapText="1"/>
    </xf>
    <xf numFmtId="4" fontId="12" fillId="2" borderId="922" xfId="0" applyFont="1" applyFill="1" applyBorder="1" applyAlignment="1">
      <alignment wrapText="1"/>
    </xf>
    <xf numFmtId="4" fontId="12" fillId="2" borderId="921" xfId="0" applyFont="1" applyFill="1" applyBorder="1"/>
    <xf numFmtId="4" fontId="12" fillId="2" borderId="923" xfId="0" applyFont="1" applyFill="1" applyBorder="1" applyAlignment="1">
      <alignment wrapText="1"/>
    </xf>
    <xf numFmtId="3" fontId="12" fillId="2" borderId="884" xfId="0" applyNumberFormat="1" applyFont="1" applyFill="1" applyBorder="1" applyAlignment="1">
      <alignment wrapText="1"/>
    </xf>
    <xf numFmtId="4" fontId="12" fillId="2" borderId="884" xfId="0" applyFont="1" applyFill="1" applyBorder="1" applyAlignment="1">
      <alignment wrapText="1"/>
    </xf>
    <xf numFmtId="4" fontId="14" fillId="0" borderId="914" xfId="0" applyFont="1" applyBorder="1" applyAlignment="1">
      <alignment wrapText="1"/>
    </xf>
    <xf numFmtId="4" fontId="14" fillId="0" borderId="912" xfId="0" applyFont="1" applyBorder="1" applyAlignment="1">
      <alignment wrapText="1"/>
    </xf>
    <xf numFmtId="4" fontId="14" fillId="0" borderId="915" xfId="0" applyFont="1" applyBorder="1" applyAlignment="1">
      <alignment wrapText="1"/>
    </xf>
    <xf numFmtId="4" fontId="14" fillId="2" borderId="924" xfId="0" applyFont="1" applyFill="1" applyBorder="1" applyAlignment="1">
      <alignment wrapText="1"/>
    </xf>
    <xf numFmtId="4" fontId="6" fillId="2" borderId="925" xfId="0" applyFont="1" applyFill="1" applyBorder="1" applyAlignment="1">
      <alignment horizontal="center" wrapText="1"/>
    </xf>
    <xf numFmtId="3" fontId="6" fillId="2" borderId="925" xfId="0" applyNumberFormat="1" applyFont="1" applyFill="1" applyBorder="1" applyAlignment="1">
      <alignment horizontal="center" wrapText="1"/>
    </xf>
    <xf numFmtId="4" fontId="6" fillId="2" borderId="919" xfId="0" applyFont="1" applyFill="1" applyBorder="1" applyAlignment="1">
      <alignment horizontal="center" wrapText="1"/>
    </xf>
    <xf numFmtId="4" fontId="14" fillId="2" borderId="917" xfId="0" applyFont="1" applyFill="1" applyBorder="1" applyAlignment="1">
      <alignment wrapText="1"/>
    </xf>
    <xf numFmtId="4" fontId="14" fillId="2" borderId="918" xfId="0" applyFont="1" applyFill="1" applyBorder="1" applyAlignment="1">
      <alignment wrapText="1"/>
    </xf>
    <xf numFmtId="4" fontId="14" fillId="2" borderId="926" xfId="0" applyFont="1" applyFill="1" applyBorder="1" applyAlignment="1">
      <alignment wrapText="1"/>
    </xf>
    <xf numFmtId="4" fontId="12" fillId="2" borderId="917" xfId="0" applyFont="1" applyFill="1" applyBorder="1"/>
    <xf numFmtId="4" fontId="12" fillId="2" borderId="926" xfId="0" applyFont="1" applyFill="1" applyBorder="1"/>
    <xf numFmtId="4" fontId="6" fillId="2" borderId="927" xfId="0" applyFont="1" applyFill="1" applyBorder="1" applyAlignment="1">
      <alignment horizontal="center" wrapText="1"/>
    </xf>
    <xf numFmtId="4" fontId="14" fillId="0" borderId="928" xfId="0" applyFont="1" applyBorder="1" applyAlignment="1">
      <alignment wrapText="1"/>
    </xf>
    <xf numFmtId="4" fontId="14" fillId="0" borderId="929" xfId="0" applyFont="1" applyBorder="1" applyAlignment="1">
      <alignment wrapText="1"/>
    </xf>
    <xf numFmtId="4" fontId="14" fillId="0" borderId="930" xfId="0" applyFont="1" applyBorder="1" applyAlignment="1">
      <alignment wrapText="1"/>
    </xf>
    <xf numFmtId="4" fontId="6" fillId="2" borderId="931" xfId="0" applyFont="1" applyFill="1" applyBorder="1" applyAlignment="1">
      <alignment horizontal="center" wrapText="1"/>
    </xf>
    <xf numFmtId="3" fontId="6" fillId="2" borderId="931" xfId="0" applyNumberFormat="1" applyFont="1" applyFill="1" applyBorder="1" applyAlignment="1">
      <alignment horizontal="center" wrapText="1"/>
    </xf>
    <xf numFmtId="4" fontId="6" fillId="2" borderId="932" xfId="0" applyFont="1" applyFill="1" applyBorder="1" applyAlignment="1">
      <alignment horizontal="center" wrapText="1"/>
    </xf>
    <xf numFmtId="4" fontId="12" fillId="2" borderId="933" xfId="0" applyFont="1" applyFill="1" applyBorder="1" applyAlignment="1">
      <alignment wrapText="1"/>
    </xf>
    <xf numFmtId="4" fontId="12" fillId="2" borderId="934" xfId="0" applyFont="1" applyFill="1" applyBorder="1" applyAlignment="1">
      <alignment wrapText="1"/>
    </xf>
    <xf numFmtId="4" fontId="12" fillId="2" borderId="935" xfId="0" applyFont="1" applyFill="1" applyBorder="1" applyAlignment="1">
      <alignment wrapText="1"/>
    </xf>
    <xf numFmtId="4" fontId="12" fillId="2" borderId="933" xfId="0" applyFont="1" applyFill="1" applyBorder="1"/>
    <xf numFmtId="4" fontId="12" fillId="2" borderId="935" xfId="0" applyFont="1" applyFill="1" applyBorder="1"/>
    <xf numFmtId="4" fontId="6" fillId="2" borderId="936" xfId="0" applyFont="1" applyFill="1" applyBorder="1" applyAlignment="1">
      <alignment horizontal="center" wrapText="1"/>
    </xf>
    <xf numFmtId="4" fontId="12" fillId="15" borderId="937" xfId="0" applyFont="1" applyFill="1" applyBorder="1" applyAlignment="1">
      <alignment wrapText="1"/>
    </xf>
    <xf numFmtId="165" fontId="13" fillId="15" borderId="938" xfId="1" applyFont="1" applyFill="1" applyBorder="1" applyAlignment="1">
      <alignment horizontal="center"/>
    </xf>
    <xf numFmtId="4" fontId="14" fillId="15" borderId="939" xfId="0" applyFont="1" applyFill="1" applyBorder="1" applyAlignment="1">
      <alignment wrapText="1"/>
    </xf>
    <xf numFmtId="165" fontId="12" fillId="15" borderId="940" xfId="1" applyFont="1" applyFill="1" applyBorder="1" applyAlignment="1">
      <alignment horizontal="center"/>
    </xf>
    <xf numFmtId="165" fontId="12" fillId="15" borderId="938" xfId="1" applyFont="1" applyFill="1" applyBorder="1" applyAlignment="1">
      <alignment horizontal="center"/>
    </xf>
    <xf numFmtId="165" fontId="12" fillId="15" borderId="941" xfId="1" applyFont="1" applyFill="1" applyBorder="1" applyAlignment="1">
      <alignment horizontal="center"/>
    </xf>
    <xf numFmtId="165" fontId="12" fillId="15" borderId="853" xfId="1" applyFont="1" applyFill="1" applyBorder="1" applyAlignment="1">
      <alignment horizontal="center"/>
    </xf>
    <xf numFmtId="3" fontId="12" fillId="15" borderId="853" xfId="1" applyNumberFormat="1" applyFont="1" applyFill="1" applyBorder="1" applyAlignment="1">
      <alignment horizontal="center"/>
    </xf>
    <xf numFmtId="165" fontId="12" fillId="15" borderId="903" xfId="1" applyFont="1" applyFill="1" applyBorder="1" applyAlignment="1">
      <alignment horizontal="center"/>
    </xf>
    <xf numFmtId="165" fontId="12" fillId="15" borderId="851" xfId="1" applyFont="1" applyFill="1" applyBorder="1" applyAlignment="1">
      <alignment horizontal="center"/>
    </xf>
    <xf numFmtId="165" fontId="12" fillId="15" borderId="906" xfId="1" applyFont="1" applyFill="1" applyBorder="1" applyAlignment="1">
      <alignment horizontal="center"/>
    </xf>
    <xf numFmtId="165" fontId="12" fillId="15" borderId="779" xfId="1" applyFont="1" applyFill="1" applyBorder="1" applyAlignment="1">
      <alignment horizontal="center"/>
    </xf>
    <xf numFmtId="165" fontId="12" fillId="15" borderId="852" xfId="1" applyFont="1" applyFill="1" applyBorder="1" applyAlignment="1">
      <alignment horizontal="center"/>
    </xf>
    <xf numFmtId="4" fontId="12" fillId="0" borderId="772" xfId="0" applyFont="1" applyBorder="1" applyAlignment="1">
      <alignment wrapText="1"/>
    </xf>
    <xf numFmtId="4" fontId="12" fillId="0" borderId="770" xfId="0" applyFont="1" applyBorder="1" applyAlignment="1">
      <alignment wrapText="1"/>
    </xf>
    <xf numFmtId="4" fontId="12" fillId="0" borderId="816" xfId="0" applyFont="1" applyBorder="1" applyAlignment="1">
      <alignment wrapText="1"/>
    </xf>
    <xf numFmtId="4" fontId="12" fillId="3" borderId="942" xfId="0" applyFont="1" applyFill="1" applyBorder="1"/>
    <xf numFmtId="4" fontId="12" fillId="3" borderId="943" xfId="0" applyFont="1" applyFill="1" applyBorder="1"/>
    <xf numFmtId="4" fontId="12" fillId="3" borderId="944" xfId="0" applyFont="1" applyFill="1" applyBorder="1"/>
    <xf numFmtId="4" fontId="12" fillId="3" borderId="902" xfId="0" applyFont="1" applyFill="1" applyBorder="1"/>
    <xf numFmtId="4" fontId="6" fillId="2" borderId="885" xfId="0" applyFont="1" applyFill="1" applyBorder="1" applyAlignment="1">
      <alignment horizontal="center" wrapText="1"/>
    </xf>
    <xf numFmtId="4" fontId="6" fillId="2" borderId="886" xfId="0" applyFont="1" applyFill="1" applyBorder="1" applyAlignment="1">
      <alignment horizontal="center" wrapText="1"/>
    </xf>
    <xf numFmtId="4" fontId="12" fillId="2" borderId="926" xfId="0" applyFont="1" applyFill="1" applyBorder="1" applyAlignment="1">
      <alignment wrapText="1"/>
    </xf>
    <xf numFmtId="4" fontId="14" fillId="2" borderId="912" xfId="0" applyFont="1" applyFill="1" applyBorder="1" applyAlignment="1">
      <alignment wrapText="1"/>
    </xf>
    <xf numFmtId="4" fontId="14" fillId="2" borderId="913" xfId="0" applyFont="1" applyFill="1" applyBorder="1" applyAlignment="1">
      <alignment wrapText="1"/>
    </xf>
    <xf numFmtId="4" fontId="13" fillId="0" borderId="896" xfId="0" applyFont="1" applyBorder="1"/>
    <xf numFmtId="165" fontId="14" fillId="2" borderId="917" xfId="1" applyFont="1" applyFill="1" applyBorder="1" applyAlignment="1">
      <alignment wrapText="1"/>
    </xf>
    <xf numFmtId="165" fontId="14" fillId="2" borderId="918" xfId="1" applyFont="1" applyFill="1" applyBorder="1" applyAlignment="1">
      <alignment wrapText="1"/>
    </xf>
    <xf numFmtId="4" fontId="14" fillId="9" borderId="914" xfId="6" applyFont="1" applyFill="1" applyBorder="1" applyAlignment="1">
      <alignment wrapText="1"/>
    </xf>
    <xf numFmtId="4" fontId="14" fillId="9" borderId="912" xfId="6" applyFont="1" applyFill="1" applyBorder="1" applyAlignment="1">
      <alignment wrapText="1"/>
    </xf>
    <xf numFmtId="4" fontId="14" fillId="2" borderId="933" xfId="0" applyFont="1" applyFill="1" applyBorder="1" applyAlignment="1">
      <alignment wrapText="1"/>
    </xf>
    <xf numFmtId="4" fontId="14" fillId="2" borderId="934" xfId="0" applyFont="1" applyFill="1" applyBorder="1" applyAlignment="1">
      <alignment wrapText="1"/>
    </xf>
    <xf numFmtId="4" fontId="14" fillId="2" borderId="935" xfId="0" applyFont="1" applyFill="1" applyBorder="1" applyAlignment="1">
      <alignment wrapText="1"/>
    </xf>
    <xf numFmtId="4" fontId="12" fillId="0" borderId="947" xfId="0" applyFont="1" applyBorder="1" applyAlignment="1">
      <alignment wrapText="1"/>
    </xf>
    <xf numFmtId="4" fontId="12" fillId="0" borderId="948" xfId="0" applyFont="1" applyBorder="1" applyAlignment="1">
      <alignment wrapText="1"/>
    </xf>
    <xf numFmtId="4" fontId="12" fillId="0" borderId="949" xfId="0" applyFont="1" applyBorder="1" applyAlignment="1">
      <alignment wrapText="1"/>
    </xf>
    <xf numFmtId="4" fontId="12" fillId="0" borderId="950" xfId="0" applyFont="1" applyBorder="1" applyAlignment="1">
      <alignment wrapText="1"/>
    </xf>
    <xf numFmtId="4" fontId="12" fillId="0" borderId="951" xfId="0" applyFont="1" applyBorder="1" applyAlignment="1">
      <alignment wrapText="1"/>
    </xf>
    <xf numFmtId="4" fontId="12" fillId="2" borderId="952" xfId="0" applyFont="1" applyFill="1" applyBorder="1"/>
    <xf numFmtId="3" fontId="12" fillId="2" borderId="952" xfId="0" applyNumberFormat="1" applyFont="1" applyFill="1" applyBorder="1"/>
    <xf numFmtId="4" fontId="12" fillId="2" borderId="953" xfId="0" applyFont="1" applyFill="1" applyBorder="1"/>
    <xf numFmtId="4" fontId="12" fillId="2" borderId="954" xfId="0" applyFont="1" applyFill="1" applyBorder="1"/>
    <xf numFmtId="4" fontId="12" fillId="2" borderId="955" xfId="0" applyFont="1" applyFill="1" applyBorder="1"/>
    <xf numFmtId="4" fontId="12" fillId="2" borderId="956" xfId="0" applyFont="1" applyFill="1" applyBorder="1"/>
    <xf numFmtId="4" fontId="12" fillId="2" borderId="957" xfId="0" applyFont="1" applyFill="1" applyBorder="1"/>
    <xf numFmtId="4" fontId="12" fillId="0" borderId="755" xfId="0" applyFont="1" applyBorder="1" applyAlignment="1">
      <alignment wrapText="1"/>
    </xf>
    <xf numFmtId="4" fontId="12" fillId="0" borderId="753" xfId="0" applyFont="1" applyBorder="1" applyAlignment="1">
      <alignment wrapText="1"/>
    </xf>
    <xf numFmtId="4" fontId="12" fillId="0" borderId="762" xfId="0" applyFont="1" applyBorder="1" applyAlignment="1">
      <alignment wrapText="1"/>
    </xf>
    <xf numFmtId="4" fontId="6" fillId="2" borderId="611" xfId="0" applyFont="1" applyFill="1" applyBorder="1" applyAlignment="1">
      <alignment horizontal="center" wrapText="1"/>
    </xf>
    <xf numFmtId="3" fontId="6" fillId="2" borderId="611" xfId="0" applyNumberFormat="1" applyFont="1" applyFill="1" applyBorder="1" applyAlignment="1">
      <alignment horizontal="center" wrapText="1"/>
    </xf>
    <xf numFmtId="4" fontId="6" fillId="2" borderId="649" xfId="0" applyFont="1" applyFill="1" applyBorder="1" applyAlignment="1">
      <alignment horizontal="center" wrapText="1"/>
    </xf>
    <xf numFmtId="4" fontId="12" fillId="2" borderId="958" xfId="0" applyFont="1" applyFill="1" applyBorder="1" applyAlignment="1">
      <alignment wrapText="1"/>
    </xf>
    <xf numFmtId="4" fontId="12" fillId="2" borderId="959" xfId="0" applyFont="1" applyFill="1" applyBorder="1" applyAlignment="1">
      <alignment wrapText="1"/>
    </xf>
    <xf numFmtId="4" fontId="12" fillId="2" borderId="761" xfId="0" applyFont="1" applyFill="1" applyBorder="1" applyAlignment="1">
      <alignment wrapText="1"/>
    </xf>
    <xf numFmtId="4" fontId="12" fillId="2" borderId="761" xfId="0" applyFont="1" applyFill="1" applyBorder="1"/>
    <xf numFmtId="4" fontId="6" fillId="2" borderId="858" xfId="0" applyFont="1" applyFill="1" applyBorder="1" applyAlignment="1">
      <alignment horizontal="center" wrapText="1"/>
    </xf>
    <xf numFmtId="3" fontId="6" fillId="2" borderId="858" xfId="0" applyNumberFormat="1" applyFont="1" applyFill="1" applyBorder="1" applyAlignment="1">
      <alignment horizontal="center" wrapText="1"/>
    </xf>
    <xf numFmtId="4" fontId="14" fillId="0" borderId="98" xfId="0" applyFont="1" applyBorder="1" applyAlignment="1">
      <alignment horizontal="left" wrapText="1"/>
    </xf>
    <xf numFmtId="0" fontId="14" fillId="2" borderId="917" xfId="3" applyFont="1" applyFill="1" applyBorder="1" applyAlignment="1">
      <alignment wrapText="1"/>
    </xf>
    <xf numFmtId="0" fontId="14" fillId="2" borderId="918" xfId="3" applyFont="1" applyFill="1" applyBorder="1" applyAlignment="1">
      <alignment wrapText="1"/>
    </xf>
    <xf numFmtId="4" fontId="14" fillId="9" borderId="914" xfId="0" applyFont="1" applyFill="1" applyBorder="1" applyAlignment="1">
      <alignment wrapText="1"/>
    </xf>
    <xf numFmtId="4" fontId="14" fillId="2" borderId="917" xfId="0" applyFont="1" applyFill="1" applyBorder="1" applyAlignment="1">
      <alignment horizontal="center" wrapText="1"/>
    </xf>
    <xf numFmtId="4" fontId="14" fillId="2" borderId="918" xfId="0" applyFont="1" applyFill="1" applyBorder="1" applyAlignment="1">
      <alignment horizontal="center" wrapText="1"/>
    </xf>
    <xf numFmtId="168" fontId="14" fillId="2" borderId="917" xfId="5" applyFont="1" applyFill="1" applyBorder="1" applyAlignment="1">
      <alignment wrapText="1"/>
    </xf>
    <xf numFmtId="0" fontId="14" fillId="2" borderId="912" xfId="2" applyFont="1" applyFill="1" applyBorder="1" applyAlignment="1">
      <alignment wrapText="1"/>
    </xf>
    <xf numFmtId="0" fontId="14" fillId="0" borderId="912" xfId="2" applyFont="1" applyBorder="1" applyAlignment="1">
      <alignment wrapText="1"/>
    </xf>
    <xf numFmtId="0" fontId="14" fillId="0" borderId="914" xfId="2" applyFont="1" applyBorder="1" applyAlignment="1">
      <alignment wrapText="1"/>
    </xf>
    <xf numFmtId="0" fontId="14" fillId="2" borderId="926" xfId="2" applyFont="1" applyFill="1" applyBorder="1" applyAlignment="1">
      <alignment wrapText="1"/>
    </xf>
    <xf numFmtId="165" fontId="14" fillId="2" borderId="917" xfId="8" applyFont="1" applyFill="1" applyBorder="1" applyAlignment="1">
      <alignment wrapText="1"/>
    </xf>
    <xf numFmtId="165" fontId="14" fillId="2" borderId="918" xfId="8" applyFont="1" applyFill="1" applyBorder="1" applyAlignment="1">
      <alignment wrapText="1"/>
    </xf>
    <xf numFmtId="168" fontId="14" fillId="2" borderId="918" xfId="5" applyFont="1" applyFill="1" applyBorder="1" applyAlignment="1">
      <alignment wrapText="1"/>
    </xf>
    <xf numFmtId="4" fontId="14" fillId="0" borderId="914" xfId="0" applyFont="1" applyFill="1" applyBorder="1" applyAlignment="1">
      <alignment wrapText="1"/>
    </xf>
    <xf numFmtId="4" fontId="14" fillId="0" borderId="912" xfId="0" applyFont="1" applyFill="1" applyBorder="1" applyAlignment="1">
      <alignment wrapText="1"/>
    </xf>
    <xf numFmtId="168" fontId="14" fillId="2" borderId="926" xfId="5" applyFont="1" applyFill="1" applyBorder="1" applyAlignment="1">
      <alignment wrapText="1"/>
    </xf>
    <xf numFmtId="4" fontId="12" fillId="0" borderId="497" xfId="0" applyFont="1" applyBorder="1"/>
    <xf numFmtId="0" fontId="17" fillId="0" borderId="928" xfId="2" applyFont="1" applyBorder="1" applyAlignment="1">
      <alignment wrapText="1"/>
    </xf>
    <xf numFmtId="0" fontId="17" fillId="0" borderId="929" xfId="2" applyFont="1" applyBorder="1" applyAlignment="1">
      <alignment wrapText="1"/>
    </xf>
    <xf numFmtId="0" fontId="17" fillId="0" borderId="930" xfId="2" applyFont="1" applyBorder="1" applyAlignment="1">
      <alignment wrapText="1"/>
    </xf>
    <xf numFmtId="4" fontId="18" fillId="2" borderId="933" xfId="0" applyFont="1" applyFill="1" applyBorder="1" applyAlignment="1">
      <alignment wrapText="1"/>
    </xf>
    <xf numFmtId="4" fontId="18" fillId="2" borderId="934" xfId="0" applyFont="1" applyFill="1" applyBorder="1" applyAlignment="1">
      <alignment wrapText="1"/>
    </xf>
    <xf numFmtId="4" fontId="18" fillId="2" borderId="935" xfId="0" applyFont="1" applyFill="1" applyBorder="1" applyAlignment="1">
      <alignment wrapText="1"/>
    </xf>
    <xf numFmtId="4" fontId="12" fillId="0" borderId="961" xfId="0" applyFont="1" applyBorder="1" applyAlignment="1">
      <alignment wrapText="1"/>
    </xf>
    <xf numFmtId="4" fontId="12" fillId="2" borderId="950" xfId="0" applyFont="1" applyFill="1" applyBorder="1"/>
    <xf numFmtId="3" fontId="12" fillId="2" borderId="950" xfId="0" applyNumberFormat="1" applyFont="1" applyFill="1" applyBorder="1"/>
    <xf numFmtId="4" fontId="12" fillId="2" borderId="962" xfId="0" applyFont="1" applyFill="1" applyBorder="1"/>
    <xf numFmtId="4" fontId="12" fillId="2" borderId="963" xfId="0" applyFont="1" applyFill="1" applyBorder="1"/>
    <xf numFmtId="4" fontId="12" fillId="2" borderId="964" xfId="0" applyFont="1" applyFill="1" applyBorder="1"/>
    <xf numFmtId="4" fontId="12" fillId="0" borderId="965" xfId="0" applyFont="1" applyBorder="1" applyAlignment="1">
      <alignment wrapText="1"/>
    </xf>
    <xf numFmtId="4" fontId="14" fillId="15" borderId="946" xfId="0" applyFont="1" applyFill="1" applyBorder="1" applyAlignment="1">
      <alignment wrapText="1"/>
    </xf>
    <xf numFmtId="4" fontId="12" fillId="15" borderId="966" xfId="0" applyFont="1" applyFill="1" applyBorder="1" applyAlignment="1">
      <alignment wrapText="1"/>
    </xf>
    <xf numFmtId="4" fontId="12" fillId="15" borderId="967" xfId="0" applyFont="1" applyFill="1" applyBorder="1" applyAlignment="1">
      <alignment wrapText="1"/>
    </xf>
    <xf numFmtId="4" fontId="12" fillId="15" borderId="968" xfId="0" applyFont="1" applyFill="1" applyBorder="1" applyAlignment="1">
      <alignment wrapText="1"/>
    </xf>
    <xf numFmtId="4" fontId="12" fillId="15" borderId="969" xfId="0" applyFont="1" applyFill="1" applyBorder="1" applyAlignment="1">
      <alignment wrapText="1"/>
    </xf>
    <xf numFmtId="4" fontId="12" fillId="15" borderId="969" xfId="0" applyFont="1" applyFill="1" applyBorder="1"/>
    <xf numFmtId="3" fontId="12" fillId="15" borderId="969" xfId="0" applyNumberFormat="1" applyFont="1" applyFill="1" applyBorder="1"/>
    <xf numFmtId="4" fontId="12" fillId="15" borderId="970" xfId="0" applyFont="1" applyFill="1" applyBorder="1"/>
    <xf numFmtId="4" fontId="12" fillId="15" borderId="971" xfId="0" applyFont="1" applyFill="1" applyBorder="1"/>
    <xf numFmtId="4" fontId="12" fillId="15" borderId="972" xfId="0" applyFont="1" applyFill="1" applyBorder="1"/>
    <xf numFmtId="4" fontId="12" fillId="0" borderId="973" xfId="0" applyFont="1" applyBorder="1" applyAlignment="1">
      <alignment wrapText="1"/>
    </xf>
    <xf numFmtId="4" fontId="12" fillId="0" borderId="945" xfId="0" applyFont="1" applyBorder="1" applyAlignment="1">
      <alignment wrapText="1"/>
    </xf>
    <xf numFmtId="4" fontId="12" fillId="0" borderId="946" xfId="0" applyFont="1" applyBorder="1" applyAlignment="1">
      <alignment wrapText="1"/>
    </xf>
    <xf numFmtId="4" fontId="12" fillId="0" borderId="974" xfId="0" applyFont="1" applyBorder="1" applyAlignment="1">
      <alignment wrapText="1"/>
    </xf>
    <xf numFmtId="4" fontId="12" fillId="0" borderId="975" xfId="0" applyFont="1" applyBorder="1" applyAlignment="1">
      <alignment wrapText="1"/>
    </xf>
    <xf numFmtId="4" fontId="12" fillId="0" borderId="976" xfId="0" applyFont="1" applyBorder="1" applyAlignment="1">
      <alignment wrapText="1"/>
    </xf>
    <xf numFmtId="4" fontId="12" fillId="0" borderId="977" xfId="0" applyFont="1" applyBorder="1" applyAlignment="1">
      <alignment wrapText="1"/>
    </xf>
    <xf numFmtId="4" fontId="6" fillId="2" borderId="978" xfId="0" applyFont="1" applyFill="1" applyBorder="1" applyAlignment="1">
      <alignment horizontal="center" wrapText="1"/>
    </xf>
    <xf numFmtId="3" fontId="6" fillId="2" borderId="978" xfId="0" applyNumberFormat="1" applyFont="1" applyFill="1" applyBorder="1" applyAlignment="1">
      <alignment horizontal="center" wrapText="1"/>
    </xf>
    <xf numFmtId="4" fontId="6" fillId="2" borderId="979" xfId="0" applyFont="1" applyFill="1" applyBorder="1" applyAlignment="1">
      <alignment horizontal="center" wrapText="1"/>
    </xf>
    <xf numFmtId="4" fontId="12" fillId="2" borderId="980" xfId="0" applyFont="1" applyFill="1" applyBorder="1"/>
    <xf numFmtId="4" fontId="12" fillId="2" borderId="981" xfId="0" applyFont="1" applyFill="1" applyBorder="1"/>
    <xf numFmtId="4" fontId="12" fillId="2" borderId="982" xfId="0" applyFont="1" applyFill="1" applyBorder="1"/>
    <xf numFmtId="4" fontId="6" fillId="2" borderId="983" xfId="0" applyFont="1" applyFill="1" applyBorder="1" applyAlignment="1">
      <alignment horizontal="center" wrapText="1"/>
    </xf>
    <xf numFmtId="4" fontId="12" fillId="3" borderId="892" xfId="0" applyFont="1" applyFill="1" applyBorder="1"/>
    <xf numFmtId="4" fontId="12" fillId="2" borderId="918" xfId="0" applyFont="1" applyFill="1" applyBorder="1"/>
    <xf numFmtId="4" fontId="13" fillId="0" borderId="899" xfId="0" applyFont="1" applyBorder="1"/>
    <xf numFmtId="4" fontId="12" fillId="0" borderId="897" xfId="0" applyFont="1" applyBorder="1" applyAlignment="1">
      <alignment wrapText="1"/>
    </xf>
    <xf numFmtId="4" fontId="12" fillId="0" borderId="914" xfId="0" applyFont="1" applyBorder="1" applyAlignment="1">
      <alignment wrapText="1"/>
    </xf>
    <xf numFmtId="4" fontId="12" fillId="0" borderId="912" xfId="0" applyFont="1" applyBorder="1" applyAlignment="1">
      <alignment wrapText="1"/>
    </xf>
    <xf numFmtId="4" fontId="12" fillId="0" borderId="915" xfId="0" applyFont="1" applyBorder="1" applyAlignment="1">
      <alignment wrapText="1"/>
    </xf>
    <xf numFmtId="4" fontId="12" fillId="0" borderId="892" xfId="0" applyFont="1" applyBorder="1" applyAlignment="1">
      <alignment wrapText="1"/>
    </xf>
    <xf numFmtId="4" fontId="14" fillId="0" borderId="474" xfId="0" applyFont="1" applyBorder="1" applyAlignment="1">
      <alignment wrapText="1"/>
    </xf>
    <xf numFmtId="4" fontId="14" fillId="2" borderId="986" xfId="0" applyFont="1" applyFill="1" applyBorder="1" applyAlignment="1">
      <alignment wrapText="1"/>
    </xf>
    <xf numFmtId="4" fontId="51" fillId="2" borderId="918" xfId="0" applyFont="1" applyFill="1" applyBorder="1" applyAlignment="1">
      <alignment wrapText="1"/>
    </xf>
    <xf numFmtId="4" fontId="13" fillId="0" borderId="233" xfId="0" applyFont="1" applyBorder="1"/>
    <xf numFmtId="4" fontId="14" fillId="0" borderId="234" xfId="0" applyFont="1" applyFill="1" applyBorder="1" applyAlignment="1">
      <alignment wrapText="1"/>
    </xf>
    <xf numFmtId="4" fontId="14" fillId="0" borderId="915" xfId="0" applyFont="1" applyFill="1" applyBorder="1" applyAlignment="1">
      <alignment wrapText="1"/>
    </xf>
    <xf numFmtId="4" fontId="12" fillId="0" borderId="987" xfId="0" applyFont="1" applyBorder="1"/>
    <xf numFmtId="4" fontId="12" fillId="0" borderId="988" xfId="0" applyFont="1" applyBorder="1"/>
    <xf numFmtId="4" fontId="12" fillId="0" borderId="914" xfId="0" applyFont="1" applyBorder="1"/>
    <xf numFmtId="4" fontId="12" fillId="0" borderId="912" xfId="0" applyFont="1" applyBorder="1"/>
    <xf numFmtId="4" fontId="12" fillId="0" borderId="915" xfId="0" applyFont="1" applyBorder="1"/>
    <xf numFmtId="4" fontId="14" fillId="0" borderId="474" xfId="0" applyFont="1" applyFill="1" applyBorder="1" applyAlignment="1">
      <alignment wrapText="1"/>
    </xf>
    <xf numFmtId="4" fontId="0" fillId="0" borderId="233" xfId="0" applyBorder="1"/>
    <xf numFmtId="4" fontId="0" fillId="0" borderId="234" xfId="0" applyBorder="1"/>
    <xf numFmtId="4" fontId="0" fillId="0" borderId="914" xfId="0" applyBorder="1"/>
    <xf numFmtId="4" fontId="0" fillId="0" borderId="912" xfId="0" applyBorder="1"/>
    <xf numFmtId="4" fontId="0" fillId="0" borderId="915" xfId="0" applyBorder="1"/>
    <xf numFmtId="4" fontId="0" fillId="2" borderId="917" xfId="0" applyFill="1" applyBorder="1" applyAlignment="1">
      <alignment wrapText="1"/>
    </xf>
    <xf numFmtId="4" fontId="0" fillId="2" borderId="918" xfId="0" applyFill="1" applyBorder="1" applyAlignment="1">
      <alignment wrapText="1"/>
    </xf>
    <xf numFmtId="4" fontId="0" fillId="2" borderId="926" xfId="0" applyFill="1" applyBorder="1" applyAlignment="1">
      <alignment wrapText="1"/>
    </xf>
    <xf numFmtId="4" fontId="14" fillId="0" borderId="928" xfId="0" applyFont="1" applyFill="1" applyBorder="1" applyAlignment="1">
      <alignment wrapText="1"/>
    </xf>
    <xf numFmtId="4" fontId="14" fillId="0" borderId="929" xfId="0" applyFont="1" applyFill="1" applyBorder="1" applyAlignment="1">
      <alignment wrapText="1"/>
    </xf>
    <xf numFmtId="165" fontId="14" fillId="2" borderId="933" xfId="1" applyFont="1" applyFill="1" applyBorder="1" applyAlignment="1">
      <alignment wrapText="1"/>
    </xf>
    <xf numFmtId="165" fontId="14" fillId="2" borderId="934" xfId="1" applyFont="1" applyFill="1" applyBorder="1" applyAlignment="1">
      <alignment wrapText="1"/>
    </xf>
    <xf numFmtId="4" fontId="13" fillId="0" borderId="961" xfId="0" applyFont="1" applyBorder="1"/>
    <xf numFmtId="4" fontId="13" fillId="0" borderId="949" xfId="0" applyFont="1" applyBorder="1"/>
    <xf numFmtId="4" fontId="14" fillId="0" borderId="950" xfId="0" applyFont="1" applyBorder="1"/>
    <xf numFmtId="4" fontId="14" fillId="0" borderId="948" xfId="0" applyFont="1" applyBorder="1"/>
    <xf numFmtId="4" fontId="14" fillId="0" borderId="951" xfId="0" applyFont="1" applyBorder="1"/>
    <xf numFmtId="4" fontId="13" fillId="15" borderId="947" xfId="0" applyFont="1" applyFill="1" applyBorder="1"/>
    <xf numFmtId="4" fontId="13" fillId="15" borderId="989" xfId="0" applyFont="1" applyFill="1" applyBorder="1"/>
    <xf numFmtId="4" fontId="14" fillId="15" borderId="990" xfId="0" applyFont="1" applyFill="1" applyBorder="1"/>
    <xf numFmtId="4" fontId="14" fillId="15" borderId="991" xfId="0" applyFont="1" applyFill="1" applyBorder="1"/>
    <xf numFmtId="4" fontId="14" fillId="15" borderId="992" xfId="0" applyFont="1" applyFill="1" applyBorder="1"/>
    <xf numFmtId="4" fontId="14" fillId="15" borderId="993" xfId="0" applyFont="1" applyFill="1" applyBorder="1"/>
    <xf numFmtId="4" fontId="12" fillId="15" borderId="994" xfId="0" applyFont="1" applyFill="1" applyBorder="1"/>
    <xf numFmtId="4" fontId="12" fillId="15" borderId="995" xfId="0" applyFont="1" applyFill="1" applyBorder="1"/>
    <xf numFmtId="4" fontId="12" fillId="15" borderId="996" xfId="0" applyFont="1" applyFill="1" applyBorder="1"/>
    <xf numFmtId="4" fontId="12" fillId="15" borderId="997" xfId="0" applyFont="1" applyFill="1" applyBorder="1"/>
    <xf numFmtId="4" fontId="12" fillId="15" borderId="998" xfId="0" applyFont="1" applyFill="1" applyBorder="1"/>
    <xf numFmtId="4" fontId="12" fillId="15" borderId="999" xfId="0" applyFont="1" applyFill="1" applyBorder="1"/>
    <xf numFmtId="4" fontId="12" fillId="2" borderId="1000" xfId="0" applyFont="1" applyFill="1" applyBorder="1"/>
    <xf numFmtId="4" fontId="12" fillId="2" borderId="1001" xfId="0" applyFont="1" applyFill="1" applyBorder="1"/>
    <xf numFmtId="4" fontId="6" fillId="2" borderId="1002" xfId="0" applyFont="1" applyFill="1" applyBorder="1" applyAlignment="1">
      <alignment horizontal="center" wrapText="1"/>
    </xf>
    <xf numFmtId="4" fontId="12" fillId="3" borderId="995" xfId="0" applyFont="1" applyFill="1" applyBorder="1"/>
    <xf numFmtId="4" fontId="12" fillId="3" borderId="993" xfId="0" applyFont="1" applyFill="1" applyBorder="1"/>
    <xf numFmtId="4" fontId="13" fillId="3" borderId="950" xfId="0" applyFont="1" applyFill="1" applyBorder="1"/>
    <xf numFmtId="4" fontId="13" fillId="3" borderId="948" xfId="0" applyFont="1" applyFill="1" applyBorder="1"/>
    <xf numFmtId="4" fontId="13" fillId="3" borderId="951" xfId="0" applyFont="1" applyFill="1" applyBorder="1"/>
    <xf numFmtId="4" fontId="13" fillId="3" borderId="969" xfId="0" applyFont="1" applyFill="1" applyBorder="1"/>
    <xf numFmtId="4" fontId="13" fillId="3" borderId="858" xfId="0" applyFont="1" applyFill="1" applyBorder="1"/>
    <xf numFmtId="4" fontId="13" fillId="3" borderId="259" xfId="0" applyFont="1" applyFill="1" applyBorder="1"/>
    <xf numFmtId="4" fontId="13" fillId="3" borderId="996" xfId="0" applyFont="1" applyFill="1" applyBorder="1"/>
    <xf numFmtId="4" fontId="13" fillId="3" borderId="997" xfId="0" applyFont="1" applyFill="1" applyBorder="1"/>
    <xf numFmtId="4" fontId="13" fillId="3" borderId="438" xfId="0" applyFont="1" applyFill="1" applyBorder="1"/>
    <xf numFmtId="4" fontId="13" fillId="3" borderId="998" xfId="0" applyFont="1" applyFill="1" applyBorder="1"/>
    <xf numFmtId="4" fontId="13" fillId="0" borderId="1003" xfId="0" applyFont="1" applyFill="1" applyBorder="1"/>
    <xf numFmtId="4" fontId="0" fillId="0" borderId="1004" xfId="0" applyBorder="1"/>
    <xf numFmtId="4" fontId="0" fillId="0" borderId="1005" xfId="0" applyBorder="1"/>
    <xf numFmtId="4" fontId="14" fillId="0" borderId="951" xfId="0" applyFont="1" applyBorder="1" applyAlignment="1">
      <alignment wrapText="1"/>
    </xf>
    <xf numFmtId="4" fontId="14" fillId="0" borderId="949" xfId="0" applyFont="1" applyBorder="1" applyAlignment="1">
      <alignment wrapText="1"/>
    </xf>
    <xf numFmtId="4" fontId="14" fillId="0" borderId="1003" xfId="0" applyFont="1" applyBorder="1"/>
    <xf numFmtId="4" fontId="14" fillId="0" borderId="1004" xfId="0" applyFont="1" applyBorder="1"/>
    <xf numFmtId="4" fontId="0" fillId="0" borderId="438" xfId="0" applyBorder="1"/>
    <xf numFmtId="4" fontId="0" fillId="0" borderId="1003" xfId="0" applyBorder="1"/>
    <xf numFmtId="4" fontId="0" fillId="0" borderId="1006" xfId="0" applyBorder="1"/>
    <xf numFmtId="4" fontId="0" fillId="0" borderId="1007" xfId="0" applyBorder="1"/>
    <xf numFmtId="4" fontId="0" fillId="0" borderId="1008" xfId="0" applyBorder="1"/>
    <xf numFmtId="4" fontId="6" fillId="0" borderId="100" xfId="0" applyFont="1" applyFill="1" applyBorder="1" applyAlignment="1">
      <alignment horizontal="center" wrapText="1"/>
    </xf>
    <xf numFmtId="4" fontId="0" fillId="0" borderId="1009" xfId="0" applyBorder="1"/>
    <xf numFmtId="4" fontId="0" fillId="0" borderId="361" xfId="0" applyBorder="1"/>
    <xf numFmtId="4" fontId="13" fillId="0" borderId="1010" xfId="0" applyFont="1" applyFill="1" applyBorder="1"/>
    <xf numFmtId="4" fontId="11" fillId="0" borderId="1011" xfId="0" applyFont="1" applyBorder="1"/>
    <xf numFmtId="4" fontId="11" fillId="0" borderId="1012" xfId="0" applyFont="1" applyBorder="1"/>
    <xf numFmtId="4" fontId="12" fillId="0" borderId="1013" xfId="0" applyFont="1" applyBorder="1"/>
    <xf numFmtId="4" fontId="12" fillId="0" borderId="1010" xfId="0" applyFont="1" applyBorder="1"/>
    <xf numFmtId="4" fontId="12" fillId="0" borderId="1011" xfId="0" applyFont="1" applyBorder="1"/>
    <xf numFmtId="4" fontId="14" fillId="0" borderId="1015" xfId="0" applyFont="1" applyBorder="1"/>
    <xf numFmtId="4" fontId="12" fillId="0" borderId="1015" xfId="0" applyFont="1" applyFill="1" applyBorder="1"/>
    <xf numFmtId="4" fontId="12" fillId="0" borderId="1015" xfId="0" applyFont="1" applyBorder="1"/>
    <xf numFmtId="4" fontId="12" fillId="0" borderId="1016" xfId="0" applyFont="1" applyBorder="1"/>
    <xf numFmtId="4" fontId="11" fillId="0" borderId="0" xfId="0" applyFont="1" applyBorder="1" applyAlignment="1">
      <alignment horizontal="center"/>
    </xf>
    <xf numFmtId="169" fontId="11" fillId="0" borderId="0" xfId="0" applyNumberFormat="1" applyFont="1" applyBorder="1" applyAlignment="1">
      <alignment horizontal="left"/>
    </xf>
    <xf numFmtId="4" fontId="6" fillId="0" borderId="710" xfId="0" applyFont="1" applyFill="1" applyBorder="1" applyAlignment="1">
      <alignment vertical="center" wrapText="1"/>
    </xf>
    <xf numFmtId="4" fontId="6" fillId="0" borderId="711" xfId="0" applyFont="1" applyBorder="1" applyAlignment="1">
      <alignment horizontal="center"/>
    </xf>
    <xf numFmtId="4" fontId="6" fillId="0" borderId="712" xfId="0" applyFont="1" applyBorder="1" applyAlignment="1">
      <alignment horizontal="center"/>
    </xf>
    <xf numFmtId="4" fontId="6" fillId="0" borderId="6" xfId="0" applyFont="1" applyFill="1" applyBorder="1" applyAlignment="1">
      <alignment vertical="center" wrapText="1"/>
    </xf>
    <xf numFmtId="4" fontId="6" fillId="0" borderId="677" xfId="0" applyFont="1" applyFill="1" applyBorder="1" applyAlignment="1">
      <alignment vertical="center" wrapText="1"/>
    </xf>
    <xf numFmtId="4" fontId="6" fillId="0" borderId="678" xfId="0" applyFont="1" applyBorder="1" applyAlignment="1">
      <alignment horizontal="center"/>
    </xf>
    <xf numFmtId="4" fontId="6" fillId="0" borderId="226" xfId="0" applyFont="1" applyBorder="1" applyAlignment="1">
      <alignment horizontal="center"/>
    </xf>
    <xf numFmtId="4" fontId="6" fillId="0" borderId="1001" xfId="0" applyFont="1" applyBorder="1"/>
    <xf numFmtId="4" fontId="19" fillId="0" borderId="437" xfId="0" applyFont="1" applyBorder="1"/>
    <xf numFmtId="4" fontId="19" fillId="0" borderId="1017" xfId="0" applyFont="1" applyBorder="1"/>
    <xf numFmtId="4" fontId="19" fillId="0" borderId="761" xfId="0" applyFont="1" applyBorder="1"/>
    <xf numFmtId="4" fontId="19" fillId="0" borderId="1018" xfId="0" applyFont="1" applyBorder="1"/>
    <xf numFmtId="4" fontId="6" fillId="0" borderId="6" xfId="0" applyFont="1" applyBorder="1"/>
    <xf numFmtId="4" fontId="6" fillId="0" borderId="856" xfId="0" applyFont="1" applyBorder="1"/>
    <xf numFmtId="4" fontId="13" fillId="0" borderId="1003" xfId="0" applyFont="1" applyBorder="1"/>
    <xf numFmtId="4" fontId="13" fillId="0" borderId="1004" xfId="0" applyFont="1" applyBorder="1"/>
    <xf numFmtId="4" fontId="13" fillId="0" borderId="1005" xfId="0" applyFont="1" applyBorder="1"/>
    <xf numFmtId="4" fontId="13" fillId="0" borderId="6" xfId="0" applyFont="1" applyBorder="1"/>
    <xf numFmtId="4" fontId="13" fillId="0" borderId="6" xfId="0" applyFont="1" applyBorder="1" applyAlignment="1">
      <alignment wrapText="1"/>
    </xf>
    <xf numFmtId="4" fontId="15" fillId="0" borderId="648" xfId="0" applyFont="1" applyBorder="1"/>
    <xf numFmtId="4" fontId="13" fillId="0" borderId="648" xfId="0" applyFont="1" applyFill="1" applyBorder="1"/>
    <xf numFmtId="1" fontId="15" fillId="0" borderId="0" xfId="0" quotePrefix="1" applyNumberFormat="1" applyFont="1" applyBorder="1" applyAlignment="1">
      <alignment horizontal="left"/>
    </xf>
    <xf numFmtId="4" fontId="13" fillId="2" borderId="1019" xfId="0" applyFont="1" applyFill="1" applyBorder="1" applyAlignment="1">
      <alignment horizontal="center" wrapText="1"/>
    </xf>
    <xf numFmtId="4" fontId="13" fillId="2" borderId="734" xfId="0" applyFont="1" applyFill="1" applyBorder="1" applyAlignment="1">
      <alignment horizontal="center" wrapText="1"/>
    </xf>
    <xf numFmtId="4" fontId="6" fillId="2" borderId="1020" xfId="0" applyFont="1" applyFill="1" applyBorder="1" applyAlignment="1">
      <alignment horizontal="center" wrapText="1"/>
    </xf>
    <xf numFmtId="4" fontId="6" fillId="2" borderId="1021" xfId="0" applyFont="1" applyFill="1" applyBorder="1" applyAlignment="1">
      <alignment horizontal="center" wrapText="1"/>
    </xf>
    <xf numFmtId="4" fontId="6" fillId="2" borderId="1022" xfId="0" applyFont="1" applyFill="1" applyBorder="1" applyAlignment="1">
      <alignment horizontal="center" wrapText="1"/>
    </xf>
    <xf numFmtId="4" fontId="0" fillId="0" borderId="36" xfId="0" applyBorder="1" applyAlignment="1">
      <alignment wrapText="1"/>
    </xf>
    <xf numFmtId="4" fontId="0" fillId="0" borderId="648" xfId="0" applyBorder="1" applyAlignment="1"/>
    <xf numFmtId="4" fontId="13" fillId="0" borderId="234" xfId="0" applyFont="1" applyBorder="1"/>
    <xf numFmtId="9" fontId="13" fillId="0" borderId="234" xfId="0" applyNumberFormat="1" applyFont="1" applyBorder="1"/>
    <xf numFmtId="4" fontId="13" fillId="0" borderId="1023" xfId="0" applyFont="1" applyBorder="1"/>
    <xf numFmtId="4" fontId="14" fillId="0" borderId="1024" xfId="0" applyFont="1" applyBorder="1" applyAlignment="1">
      <alignment wrapText="1"/>
    </xf>
    <xf numFmtId="4" fontId="14" fillId="0" borderId="1025" xfId="0" applyFont="1" applyBorder="1" applyAlignment="1">
      <alignment wrapText="1"/>
    </xf>
    <xf numFmtId="4" fontId="13" fillId="0" borderId="1026" xfId="0" applyFont="1" applyBorder="1"/>
    <xf numFmtId="4" fontId="14" fillId="0" borderId="1027" xfId="0" applyFont="1" applyBorder="1" applyAlignment="1">
      <alignment wrapText="1"/>
    </xf>
    <xf numFmtId="4" fontId="13" fillId="0" borderId="824" xfId="0" applyFont="1" applyBorder="1"/>
    <xf numFmtId="4" fontId="13" fillId="0" borderId="837" xfId="0" applyFont="1" applyBorder="1" applyAlignment="1">
      <alignment wrapText="1"/>
    </xf>
    <xf numFmtId="4" fontId="13" fillId="0" borderId="261" xfId="0" applyFont="1" applyBorder="1" applyAlignment="1">
      <alignment wrapText="1"/>
    </xf>
    <xf numFmtId="4" fontId="13" fillId="0" borderId="1028" xfId="0" applyFont="1" applyBorder="1"/>
    <xf numFmtId="4" fontId="13" fillId="0" borderId="1029" xfId="0" applyFont="1" applyBorder="1"/>
    <xf numFmtId="4" fontId="13" fillId="0" borderId="1030" xfId="0" applyFont="1" applyBorder="1"/>
    <xf numFmtId="4" fontId="13" fillId="0" borderId="1030" xfId="0" applyFont="1" applyFill="1" applyBorder="1"/>
    <xf numFmtId="4" fontId="14" fillId="0" borderId="1031" xfId="0" applyFont="1" applyBorder="1" applyAlignment="1">
      <alignment wrapText="1"/>
    </xf>
    <xf numFmtId="4" fontId="14" fillId="0" borderId="1032" xfId="0" applyFont="1" applyBorder="1" applyAlignment="1">
      <alignment wrapText="1"/>
    </xf>
    <xf numFmtId="4" fontId="14" fillId="0" borderId="1033" xfId="0" applyFont="1" applyBorder="1" applyAlignment="1">
      <alignment wrapText="1"/>
    </xf>
    <xf numFmtId="4" fontId="14" fillId="0" borderId="1034" xfId="0" applyFont="1" applyBorder="1" applyAlignment="1">
      <alignment wrapText="1"/>
    </xf>
    <xf numFmtId="4" fontId="14" fillId="0" borderId="1032" xfId="0" applyFont="1" applyFill="1" applyBorder="1" applyAlignment="1">
      <alignment wrapText="1"/>
    </xf>
    <xf numFmtId="4" fontId="14" fillId="0" borderId="1035" xfId="0" applyFont="1" applyBorder="1" applyAlignment="1">
      <alignment wrapText="1"/>
    </xf>
    <xf numFmtId="4" fontId="14" fillId="0" borderId="1036" xfId="0" applyFont="1" applyBorder="1" applyAlignment="1">
      <alignment wrapText="1"/>
    </xf>
    <xf numFmtId="4" fontId="0" fillId="0" borderId="1037" xfId="0" applyBorder="1" applyAlignment="1">
      <alignment wrapText="1"/>
    </xf>
    <xf numFmtId="4" fontId="12" fillId="0" borderId="1028" xfId="0" applyFont="1" applyBorder="1"/>
    <xf numFmtId="4" fontId="12" fillId="0" borderId="1030" xfId="0" quotePrefix="1" applyFont="1" applyBorder="1"/>
    <xf numFmtId="4" fontId="13" fillId="0" borderId="839" xfId="0" applyFont="1" applyBorder="1"/>
    <xf numFmtId="4" fontId="14" fillId="0" borderId="1040" xfId="0" applyFont="1" applyBorder="1" applyAlignment="1">
      <alignment wrapText="1"/>
    </xf>
    <xf numFmtId="4" fontId="12" fillId="0" borderId="1036" xfId="0" applyFont="1" applyBorder="1" applyAlignment="1">
      <alignment wrapText="1"/>
    </xf>
    <xf numFmtId="4" fontId="13" fillId="0" borderId="690" xfId="0" applyFont="1" applyBorder="1"/>
    <xf numFmtId="4" fontId="13" fillId="0" borderId="22" xfId="0" applyFont="1" applyBorder="1"/>
    <xf numFmtId="4" fontId="13" fillId="0" borderId="839" xfId="0" applyFont="1" applyFill="1" applyBorder="1"/>
    <xf numFmtId="4" fontId="13" fillId="0" borderId="465" xfId="0" applyFont="1" applyFill="1" applyBorder="1"/>
    <xf numFmtId="4" fontId="14" fillId="0" borderId="1041" xfId="0" applyFont="1" applyBorder="1" applyAlignment="1">
      <alignment wrapText="1"/>
    </xf>
    <xf numFmtId="4" fontId="14" fillId="0" borderId="1042" xfId="0" applyFont="1" applyBorder="1" applyAlignment="1">
      <alignment wrapText="1"/>
    </xf>
    <xf numFmtId="4" fontId="14" fillId="0" borderId="1043" xfId="0" applyFont="1" applyBorder="1" applyAlignment="1">
      <alignment wrapText="1"/>
    </xf>
    <xf numFmtId="4" fontId="14" fillId="0" borderId="690" xfId="0" applyFont="1" applyBorder="1"/>
    <xf numFmtId="4" fontId="14" fillId="0" borderId="1028" xfId="0" applyFont="1" applyBorder="1"/>
    <xf numFmtId="4" fontId="14" fillId="0" borderId="1030" xfId="0" applyFont="1" applyBorder="1"/>
    <xf numFmtId="4" fontId="12" fillId="0" borderId="465" xfId="0" applyFont="1" applyBorder="1"/>
    <xf numFmtId="4" fontId="14" fillId="0" borderId="1044" xfId="0" applyFont="1" applyBorder="1" applyAlignment="1">
      <alignment wrapText="1"/>
    </xf>
    <xf numFmtId="4" fontId="14" fillId="0" borderId="1045" xfId="0" applyFont="1" applyBorder="1" applyAlignment="1">
      <alignment wrapText="1"/>
    </xf>
    <xf numFmtId="4" fontId="14" fillId="0" borderId="1046" xfId="0" applyFont="1" applyBorder="1" applyAlignment="1">
      <alignment wrapText="1"/>
    </xf>
    <xf numFmtId="4" fontId="14" fillId="0" borderId="1047" xfId="0" applyFont="1" applyBorder="1" applyAlignment="1">
      <alignment wrapText="1"/>
    </xf>
    <xf numFmtId="0" fontId="14" fillId="0" borderId="1048" xfId="3" applyFont="1" applyBorder="1" applyAlignment="1">
      <alignment wrapText="1"/>
    </xf>
    <xf numFmtId="4" fontId="12" fillId="0" borderId="1049" xfId="0" applyFont="1" applyBorder="1" applyAlignment="1">
      <alignment wrapText="1"/>
    </xf>
    <xf numFmtId="0" fontId="14" fillId="0" borderId="438" xfId="3" applyFont="1" applyBorder="1" applyAlignment="1">
      <alignment horizontal="left"/>
    </xf>
    <xf numFmtId="3" fontId="12" fillId="0" borderId="1036" xfId="0" applyNumberFormat="1" applyFont="1" applyBorder="1" applyAlignment="1">
      <alignment wrapText="1"/>
    </xf>
    <xf numFmtId="4" fontId="12" fillId="0" borderId="1050" xfId="0" applyFont="1" applyBorder="1"/>
    <xf numFmtId="49" fontId="12" fillId="0" borderId="1028" xfId="6" applyNumberFormat="1" applyFont="1" applyBorder="1"/>
    <xf numFmtId="165" fontId="13" fillId="0" borderId="949" xfId="1" applyFont="1" applyBorder="1" applyAlignment="1">
      <alignment horizontal="center"/>
    </xf>
    <xf numFmtId="4" fontId="14" fillId="0" borderId="1051" xfId="0" applyFont="1" applyBorder="1" applyAlignment="1">
      <alignment wrapText="1"/>
    </xf>
    <xf numFmtId="4" fontId="14" fillId="0" borderId="1033" xfId="6" applyFont="1" applyBorder="1" applyAlignment="1">
      <alignment wrapText="1"/>
    </xf>
    <xf numFmtId="165" fontId="12" fillId="0" borderId="1036" xfId="1" applyFont="1" applyBorder="1" applyAlignment="1">
      <alignment horizontal="center"/>
    </xf>
    <xf numFmtId="4" fontId="13" fillId="0" borderId="1050" xfId="0" applyFont="1" applyBorder="1" applyAlignment="1">
      <alignment wrapText="1"/>
    </xf>
    <xf numFmtId="4" fontId="13" fillId="0" borderId="465" xfId="0" applyFont="1" applyBorder="1" applyAlignment="1">
      <alignment wrapText="1"/>
    </xf>
    <xf numFmtId="4" fontId="13" fillId="0" borderId="1028" xfId="0" applyFont="1" applyBorder="1" applyAlignment="1">
      <alignment wrapText="1"/>
    </xf>
    <xf numFmtId="49" fontId="13" fillId="0" borderId="1028" xfId="6" applyNumberFormat="1" applyFont="1" applyFill="1" applyBorder="1" applyAlignment="1">
      <alignment wrapText="1"/>
    </xf>
    <xf numFmtId="49" fontId="13" fillId="0" borderId="1050" xfId="6" applyNumberFormat="1" applyFont="1" applyBorder="1" applyAlignment="1">
      <alignment wrapText="1"/>
    </xf>
    <xf numFmtId="4" fontId="13" fillId="0" borderId="22" xfId="0" applyFont="1" applyBorder="1" applyAlignment="1">
      <alignment wrapText="1"/>
    </xf>
    <xf numFmtId="49" fontId="13" fillId="0" borderId="1028" xfId="6" applyNumberFormat="1" applyFont="1" applyBorder="1" applyAlignment="1">
      <alignment wrapText="1"/>
    </xf>
    <xf numFmtId="4" fontId="13" fillId="0" borderId="1052" xfId="0" applyFont="1" applyBorder="1" applyAlignment="1">
      <alignment wrapText="1"/>
    </xf>
    <xf numFmtId="4" fontId="14" fillId="0" borderId="1033" xfId="6" applyFont="1" applyFill="1" applyBorder="1" applyAlignment="1">
      <alignment wrapText="1"/>
    </xf>
    <xf numFmtId="4" fontId="14" fillId="0" borderId="1051" xfId="6" applyFont="1" applyBorder="1" applyAlignment="1">
      <alignment wrapText="1"/>
    </xf>
    <xf numFmtId="4" fontId="14" fillId="0" borderId="1053" xfId="0" applyFont="1" applyBorder="1" applyAlignment="1">
      <alignment wrapText="1"/>
    </xf>
    <xf numFmtId="4" fontId="13" fillId="0" borderId="1054" xfId="0" applyFont="1" applyBorder="1"/>
    <xf numFmtId="4" fontId="14" fillId="0" borderId="1055" xfId="0" applyFont="1" applyBorder="1" applyAlignment="1">
      <alignment wrapText="1"/>
    </xf>
    <xf numFmtId="4" fontId="13" fillId="0" borderId="261" xfId="0" applyFont="1" applyBorder="1"/>
    <xf numFmtId="4" fontId="13" fillId="0" borderId="1050" xfId="0" applyFont="1" applyBorder="1"/>
    <xf numFmtId="49" fontId="13" fillId="0" borderId="1050" xfId="6" applyNumberFormat="1" applyFont="1" applyBorder="1"/>
    <xf numFmtId="4" fontId="13" fillId="0" borderId="1050" xfId="0" applyFont="1" applyFill="1" applyBorder="1"/>
    <xf numFmtId="4" fontId="13" fillId="0" borderId="1028" xfId="0" applyFont="1" applyFill="1" applyBorder="1"/>
    <xf numFmtId="4" fontId="13" fillId="0" borderId="1056" xfId="0" applyFont="1" applyFill="1" applyBorder="1"/>
    <xf numFmtId="4" fontId="13" fillId="0" borderId="1052" xfId="0" applyFont="1" applyFill="1" applyBorder="1"/>
    <xf numFmtId="4" fontId="13" fillId="0" borderId="1057" xfId="0" applyFont="1" applyBorder="1"/>
    <xf numFmtId="49" fontId="13" fillId="0" borderId="1028" xfId="3" applyNumberFormat="1" applyFont="1" applyBorder="1"/>
    <xf numFmtId="4" fontId="13" fillId="0" borderId="1052" xfId="0" applyFont="1" applyBorder="1"/>
    <xf numFmtId="4" fontId="13" fillId="0" borderId="1058" xfId="0" applyFont="1" applyBorder="1"/>
    <xf numFmtId="2" fontId="13" fillId="0" borderId="1050" xfId="0" applyNumberFormat="1" applyFont="1" applyBorder="1"/>
    <xf numFmtId="2" fontId="13" fillId="0" borderId="1054" xfId="0" applyNumberFormat="1" applyFont="1" applyBorder="1"/>
    <xf numFmtId="4" fontId="13" fillId="13" borderId="1050" xfId="0" applyFont="1" applyFill="1" applyBorder="1"/>
    <xf numFmtId="4" fontId="14" fillId="0" borderId="1059" xfId="0" applyFont="1" applyBorder="1" applyAlignment="1">
      <alignment wrapText="1"/>
    </xf>
    <xf numFmtId="4" fontId="14" fillId="0" borderId="1060" xfId="0" applyFont="1" applyBorder="1" applyAlignment="1">
      <alignment wrapText="1"/>
    </xf>
    <xf numFmtId="0" fontId="14" fillId="0" borderId="1051" xfId="2" applyFont="1" applyBorder="1" applyAlignment="1">
      <alignment wrapText="1"/>
    </xf>
    <xf numFmtId="0" fontId="14" fillId="0" borderId="1033" xfId="2" applyFont="1" applyBorder="1" applyAlignment="1">
      <alignment wrapText="1"/>
    </xf>
    <xf numFmtId="0" fontId="14" fillId="0" borderId="1060" xfId="2" applyFont="1" applyBorder="1" applyAlignment="1">
      <alignment wrapText="1"/>
    </xf>
    <xf numFmtId="4" fontId="14" fillId="0" borderId="1051" xfId="0" applyFont="1" applyFill="1" applyBorder="1" applyAlignment="1">
      <alignment wrapText="1"/>
    </xf>
    <xf numFmtId="0" fontId="17" fillId="0" borderId="1035" xfId="2" applyFont="1" applyBorder="1" applyAlignment="1">
      <alignment wrapText="1"/>
    </xf>
    <xf numFmtId="4" fontId="13" fillId="0" borderId="1061" xfId="0" applyFont="1" applyBorder="1"/>
    <xf numFmtId="4" fontId="13" fillId="0" borderId="1062" xfId="0" applyFont="1" applyBorder="1"/>
    <xf numFmtId="4" fontId="14" fillId="0" borderId="1063" xfId="0" applyFont="1" applyFill="1" applyBorder="1" applyAlignment="1">
      <alignment wrapText="1"/>
    </xf>
    <xf numFmtId="4" fontId="14" fillId="0" borderId="1045" xfId="0" applyFont="1" applyFill="1" applyBorder="1" applyAlignment="1">
      <alignment wrapText="1"/>
    </xf>
    <xf numFmtId="4" fontId="14" fillId="0" borderId="1064" xfId="0" applyFont="1" applyFill="1" applyBorder="1" applyAlignment="1">
      <alignment wrapText="1"/>
    </xf>
    <xf numFmtId="4" fontId="14" fillId="0" borderId="1065" xfId="0" applyFont="1" applyFill="1" applyBorder="1" applyAlignment="1">
      <alignment wrapText="1"/>
    </xf>
    <xf numFmtId="4" fontId="14" fillId="0" borderId="1066" xfId="0" applyFont="1" applyFill="1" applyBorder="1" applyAlignment="1">
      <alignment wrapText="1"/>
    </xf>
    <xf numFmtId="4" fontId="14" fillId="0" borderId="1046" xfId="0" applyFont="1" applyFill="1" applyBorder="1" applyAlignment="1">
      <alignment wrapText="1"/>
    </xf>
    <xf numFmtId="4" fontId="12" fillId="0" borderId="1067" xfId="0" applyFont="1" applyBorder="1"/>
    <xf numFmtId="4" fontId="14" fillId="0" borderId="1036" xfId="0" applyFont="1" applyBorder="1"/>
    <xf numFmtId="4" fontId="14" fillId="15" borderId="1068" xfId="0" applyFont="1" applyFill="1" applyBorder="1" applyAlignment="1">
      <alignment wrapText="1"/>
    </xf>
    <xf numFmtId="4" fontId="14" fillId="0" borderId="1043" xfId="0" applyFont="1" applyBorder="1"/>
    <xf numFmtId="4" fontId="14" fillId="2" borderId="1069" xfId="0" applyFont="1" applyFill="1" applyBorder="1" applyAlignment="1">
      <alignment wrapText="1"/>
    </xf>
    <xf numFmtId="4" fontId="6" fillId="2" borderId="1070" xfId="0" applyFont="1" applyFill="1" applyBorder="1" applyAlignment="1">
      <alignment horizontal="center" wrapText="1"/>
    </xf>
    <xf numFmtId="3" fontId="6" fillId="2" borderId="1070" xfId="0" applyNumberFormat="1" applyFont="1" applyFill="1" applyBorder="1" applyAlignment="1">
      <alignment horizontal="center" wrapText="1"/>
    </xf>
    <xf numFmtId="4" fontId="6" fillId="2" borderId="1071" xfId="0" applyFont="1" applyFill="1" applyBorder="1" applyAlignment="1">
      <alignment horizontal="center" wrapText="1"/>
    </xf>
    <xf numFmtId="4" fontId="12" fillId="2" borderId="1072" xfId="0" applyFont="1" applyFill="1" applyBorder="1" applyAlignment="1">
      <alignment wrapText="1"/>
    </xf>
    <xf numFmtId="4" fontId="12" fillId="2" borderId="1073" xfId="0" applyFont="1" applyFill="1" applyBorder="1" applyAlignment="1">
      <alignment wrapText="1"/>
    </xf>
    <xf numFmtId="4" fontId="12" fillId="2" borderId="1074" xfId="0" applyFont="1" applyFill="1" applyBorder="1" applyAlignment="1">
      <alignment wrapText="1"/>
    </xf>
    <xf numFmtId="4" fontId="12" fillId="2" borderId="1072" xfId="0" applyFont="1" applyFill="1" applyBorder="1"/>
    <xf numFmtId="4" fontId="12" fillId="2" borderId="1074" xfId="0" applyFont="1" applyFill="1" applyBorder="1"/>
    <xf numFmtId="4" fontId="6" fillId="2" borderId="1075" xfId="0" applyFont="1" applyFill="1" applyBorder="1" applyAlignment="1">
      <alignment horizontal="center" wrapText="1"/>
    </xf>
    <xf numFmtId="4" fontId="14" fillId="2" borderId="1076" xfId="0" applyFont="1" applyFill="1" applyBorder="1" applyAlignment="1">
      <alignment wrapText="1"/>
    </xf>
    <xf numFmtId="4" fontId="6" fillId="2" borderId="1077" xfId="0" applyFont="1" applyFill="1" applyBorder="1" applyAlignment="1">
      <alignment horizontal="center" wrapText="1"/>
    </xf>
    <xf numFmtId="3" fontId="6" fillId="2" borderId="1077" xfId="0" applyNumberFormat="1" applyFont="1" applyFill="1" applyBorder="1" applyAlignment="1">
      <alignment horizontal="center" wrapText="1"/>
    </xf>
    <xf numFmtId="4" fontId="6" fillId="2" borderId="1078" xfId="0" applyFont="1" applyFill="1" applyBorder="1" applyAlignment="1">
      <alignment horizontal="center" wrapText="1"/>
    </xf>
    <xf numFmtId="4" fontId="0" fillId="2" borderId="1079" xfId="0" applyFill="1" applyBorder="1"/>
    <xf numFmtId="4" fontId="0" fillId="2" borderId="1080" xfId="0" applyFill="1" applyBorder="1"/>
    <xf numFmtId="4" fontId="0" fillId="2" borderId="1081" xfId="0" applyFill="1" applyBorder="1"/>
    <xf numFmtId="4" fontId="12" fillId="2" borderId="1081" xfId="0" applyFont="1" applyFill="1" applyBorder="1"/>
    <xf numFmtId="4" fontId="6" fillId="2" borderId="1082" xfId="0" applyFont="1" applyFill="1" applyBorder="1" applyAlignment="1">
      <alignment horizontal="center" wrapText="1"/>
    </xf>
    <xf numFmtId="4" fontId="14" fillId="2" borderId="1083" xfId="0" applyFont="1" applyFill="1" applyBorder="1" applyAlignment="1">
      <alignment wrapText="1"/>
    </xf>
    <xf numFmtId="4" fontId="12" fillId="0" borderId="1084" xfId="0" applyFont="1" applyBorder="1" applyAlignment="1">
      <alignment wrapText="1"/>
    </xf>
    <xf numFmtId="4" fontId="13" fillId="0" borderId="1024" xfId="0" applyFont="1" applyBorder="1"/>
    <xf numFmtId="4" fontId="6" fillId="2" borderId="36" xfId="0" applyFont="1" applyFill="1" applyBorder="1" applyAlignment="1">
      <alignment horizontal="center" wrapText="1"/>
    </xf>
    <xf numFmtId="4" fontId="6" fillId="2" borderId="93" xfId="0" applyFont="1" applyFill="1" applyBorder="1" applyAlignment="1">
      <alignment horizontal="center" wrapText="1"/>
    </xf>
    <xf numFmtId="4" fontId="13" fillId="3" borderId="1085" xfId="0" applyFont="1" applyFill="1" applyBorder="1"/>
    <xf numFmtId="4" fontId="13" fillId="3" borderId="1004" xfId="0" applyFont="1" applyFill="1" applyBorder="1"/>
    <xf numFmtId="4" fontId="13" fillId="3" borderId="1023" xfId="0" applyFont="1" applyFill="1" applyBorder="1"/>
    <xf numFmtId="4" fontId="12" fillId="0" borderId="235" xfId="0" applyFont="1" applyFill="1" applyBorder="1"/>
    <xf numFmtId="4" fontId="0" fillId="0" borderId="721" xfId="0" applyBorder="1"/>
    <xf numFmtId="4" fontId="0" fillId="0" borderId="235" xfId="0" applyBorder="1"/>
    <xf numFmtId="4" fontId="6" fillId="0" borderId="36" xfId="0" applyFont="1" applyFill="1" applyBorder="1" applyAlignment="1">
      <alignment horizontal="center" wrapText="1"/>
    </xf>
    <xf numFmtId="4" fontId="6" fillId="0" borderId="93" xfId="0" applyFont="1" applyFill="1" applyBorder="1" applyAlignment="1">
      <alignment horizontal="center" wrapText="1"/>
    </xf>
    <xf numFmtId="4" fontId="14" fillId="0" borderId="1023" xfId="0" applyFont="1" applyBorder="1"/>
    <xf numFmtId="4" fontId="14" fillId="0" borderId="1086" xfId="0" applyFont="1" applyBorder="1"/>
    <xf numFmtId="4" fontId="14" fillId="0" borderId="1085" xfId="0" applyFont="1" applyBorder="1"/>
    <xf numFmtId="4" fontId="12" fillId="15" borderId="952" xfId="0" applyFont="1" applyFill="1" applyBorder="1"/>
    <xf numFmtId="3" fontId="12" fillId="15" borderId="952" xfId="0" applyNumberFormat="1" applyFont="1" applyFill="1" applyBorder="1"/>
    <xf numFmtId="4" fontId="14" fillId="0" borderId="1087" xfId="0" applyFont="1" applyBorder="1" applyAlignment="1">
      <alignment wrapText="1"/>
    </xf>
    <xf numFmtId="4" fontId="14" fillId="0" borderId="1088" xfId="0" applyFont="1" applyBorder="1" applyAlignment="1">
      <alignment wrapText="1"/>
    </xf>
    <xf numFmtId="4" fontId="14" fillId="0" borderId="1089" xfId="0" applyFont="1" applyBorder="1" applyAlignment="1">
      <alignment wrapText="1"/>
    </xf>
    <xf numFmtId="4" fontId="14" fillId="2" borderId="1088" xfId="0" applyFont="1" applyFill="1" applyBorder="1" applyAlignment="1">
      <alignment wrapText="1"/>
    </xf>
    <xf numFmtId="4" fontId="14" fillId="2" borderId="1072" xfId="0" applyFont="1" applyFill="1" applyBorder="1" applyAlignment="1">
      <alignment wrapText="1"/>
    </xf>
    <xf numFmtId="4" fontId="14" fillId="2" borderId="1073" xfId="0" applyFont="1" applyFill="1" applyBorder="1" applyAlignment="1">
      <alignment wrapText="1"/>
    </xf>
    <xf numFmtId="4" fontId="14" fillId="2" borderId="1074" xfId="0" applyFont="1" applyFill="1" applyBorder="1" applyAlignment="1">
      <alignment wrapText="1"/>
    </xf>
    <xf numFmtId="4" fontId="0" fillId="0" borderId="1006" xfId="0" applyBorder="1" applyAlignment="1">
      <alignment wrapText="1"/>
    </xf>
    <xf numFmtId="4" fontId="0" fillId="0" borderId="1007" xfId="0" applyBorder="1" applyAlignment="1">
      <alignment wrapText="1"/>
    </xf>
    <xf numFmtId="4" fontId="0" fillId="0" borderId="1008" xfId="0" applyBorder="1" applyAlignment="1">
      <alignment wrapText="1"/>
    </xf>
    <xf numFmtId="4" fontId="14" fillId="2" borderId="1007" xfId="0" applyFont="1" applyFill="1" applyBorder="1" applyAlignment="1">
      <alignment wrapText="1"/>
    </xf>
    <xf numFmtId="4" fontId="12" fillId="2" borderId="1079" xfId="0" applyFont="1" applyFill="1" applyBorder="1" applyAlignment="1">
      <alignment wrapText="1"/>
    </xf>
    <xf numFmtId="4" fontId="12" fillId="2" borderId="1080" xfId="0" applyFont="1" applyFill="1" applyBorder="1" applyAlignment="1">
      <alignment wrapText="1"/>
    </xf>
    <xf numFmtId="4" fontId="12" fillId="2" borderId="1081" xfId="0" applyFont="1" applyFill="1" applyBorder="1" applyAlignment="1">
      <alignment wrapText="1"/>
    </xf>
    <xf numFmtId="3" fontId="12" fillId="2" borderId="952" xfId="1" applyNumberFormat="1" applyFont="1" applyFill="1" applyBorder="1" applyAlignment="1">
      <alignment horizontal="center"/>
    </xf>
    <xf numFmtId="165" fontId="12" fillId="2" borderId="952" xfId="1" applyFont="1" applyFill="1" applyBorder="1" applyAlignment="1">
      <alignment horizontal="center"/>
    </xf>
    <xf numFmtId="4" fontId="12" fillId="2" borderId="1090" xfId="0" applyFont="1" applyFill="1" applyBorder="1" applyAlignment="1">
      <alignment wrapText="1"/>
    </xf>
    <xf numFmtId="4" fontId="12" fillId="2" borderId="1091" xfId="0" applyFont="1" applyFill="1" applyBorder="1" applyAlignment="1">
      <alignment wrapText="1"/>
    </xf>
    <xf numFmtId="4" fontId="12" fillId="2" borderId="1090" xfId="0" applyFont="1" applyFill="1" applyBorder="1"/>
    <xf numFmtId="3" fontId="6" fillId="2" borderId="1002" xfId="0" applyNumberFormat="1" applyFont="1" applyFill="1" applyBorder="1" applyAlignment="1">
      <alignment horizontal="center" wrapText="1"/>
    </xf>
    <xf numFmtId="4" fontId="14" fillId="2" borderId="950" xfId="0" applyFont="1" applyFill="1" applyBorder="1" applyAlignment="1">
      <alignment wrapText="1"/>
    </xf>
    <xf numFmtId="4" fontId="6" fillId="2" borderId="952" xfId="0" applyFont="1" applyFill="1" applyBorder="1" applyAlignment="1">
      <alignment horizontal="center" wrapText="1"/>
    </xf>
    <xf numFmtId="3" fontId="6" fillId="2" borderId="952" xfId="0" applyNumberFormat="1" applyFont="1" applyFill="1" applyBorder="1" applyAlignment="1">
      <alignment horizontal="center" wrapText="1"/>
    </xf>
    <xf numFmtId="4" fontId="6" fillId="2" borderId="953" xfId="0" applyFont="1" applyFill="1" applyBorder="1" applyAlignment="1">
      <alignment horizontal="center" wrapText="1"/>
    </xf>
    <xf numFmtId="4" fontId="12" fillId="2" borderId="954" xfId="0" applyFont="1" applyFill="1" applyBorder="1" applyAlignment="1">
      <alignment wrapText="1"/>
    </xf>
    <xf numFmtId="4" fontId="12" fillId="2" borderId="1092" xfId="0" applyFont="1" applyFill="1" applyBorder="1" applyAlignment="1">
      <alignment wrapText="1"/>
    </xf>
    <xf numFmtId="4" fontId="12" fillId="2" borderId="1093" xfId="0" applyFont="1" applyFill="1" applyBorder="1" applyAlignment="1">
      <alignment wrapText="1"/>
    </xf>
    <xf numFmtId="4" fontId="6" fillId="2" borderId="957" xfId="0" applyFont="1" applyFill="1" applyBorder="1" applyAlignment="1">
      <alignment horizontal="center" wrapText="1"/>
    </xf>
    <xf numFmtId="4" fontId="13" fillId="0" borderId="1094" xfId="0" applyFont="1" applyBorder="1" applyAlignment="1">
      <alignment wrapText="1"/>
    </xf>
    <xf numFmtId="4" fontId="6" fillId="0" borderId="1033" xfId="0" applyFont="1" applyBorder="1" applyAlignment="1">
      <alignment horizontal="center" wrapText="1"/>
    </xf>
    <xf numFmtId="4" fontId="13" fillId="2" borderId="1095" xfId="0" applyFont="1" applyFill="1" applyBorder="1" applyAlignment="1">
      <alignment horizontal="center" wrapText="1"/>
    </xf>
    <xf numFmtId="4" fontId="13" fillId="2" borderId="1007" xfId="0" applyFont="1" applyFill="1" applyBorder="1" applyAlignment="1">
      <alignment horizontal="center" wrapText="1"/>
    </xf>
    <xf numFmtId="4" fontId="6" fillId="2" borderId="1096" xfId="0" applyFont="1" applyFill="1" applyBorder="1" applyAlignment="1">
      <alignment horizontal="center" wrapText="1"/>
    </xf>
    <xf numFmtId="4" fontId="6" fillId="2" borderId="1097" xfId="0" applyFont="1" applyFill="1" applyBorder="1" applyAlignment="1">
      <alignment horizontal="center" wrapText="1"/>
    </xf>
    <xf numFmtId="4" fontId="6" fillId="2" borderId="1098" xfId="0" applyFont="1" applyFill="1" applyBorder="1" applyAlignment="1">
      <alignment horizontal="center" wrapText="1"/>
    </xf>
    <xf numFmtId="4" fontId="13" fillId="2" borderId="1099" xfId="0" applyFont="1" applyFill="1" applyBorder="1" applyAlignment="1">
      <alignment horizontal="center" wrapText="1"/>
    </xf>
    <xf numFmtId="4" fontId="13" fillId="2" borderId="1100" xfId="0" applyFont="1" applyFill="1" applyBorder="1" applyAlignment="1">
      <alignment horizontal="center" wrapText="1"/>
    </xf>
    <xf numFmtId="4" fontId="6" fillId="2" borderId="1101" xfId="0" applyFont="1" applyFill="1" applyBorder="1" applyAlignment="1">
      <alignment horizontal="center" wrapText="1"/>
    </xf>
    <xf numFmtId="4" fontId="6" fillId="2" borderId="1091" xfId="0" applyFont="1" applyFill="1" applyBorder="1" applyAlignment="1">
      <alignment horizontal="center" wrapText="1"/>
    </xf>
    <xf numFmtId="4" fontId="6" fillId="2" borderId="1102" xfId="0" applyFont="1" applyFill="1" applyBorder="1" applyAlignment="1">
      <alignment horizontal="center" wrapText="1"/>
    </xf>
    <xf numFmtId="4" fontId="13" fillId="0" borderId="1103" xfId="0" applyFont="1" applyBorder="1" applyAlignment="1">
      <alignment wrapText="1"/>
    </xf>
    <xf numFmtId="4" fontId="6" fillId="0" borderId="1104" xfId="0" applyFont="1" applyBorder="1" applyAlignment="1">
      <alignment horizontal="center" wrapText="1"/>
    </xf>
    <xf numFmtId="4" fontId="6" fillId="0" borderId="1105" xfId="0" applyFont="1" applyBorder="1" applyAlignment="1">
      <alignment horizontal="center" wrapText="1"/>
    </xf>
    <xf numFmtId="4" fontId="6" fillId="2" borderId="1004" xfId="0" applyFont="1" applyFill="1" applyBorder="1" applyAlignment="1">
      <alignment horizontal="center" wrapText="1"/>
    </xf>
    <xf numFmtId="4" fontId="6" fillId="0" borderId="1107" xfId="0" applyFont="1" applyBorder="1"/>
    <xf numFmtId="4" fontId="19" fillId="0" borderId="1108" xfId="0" applyFont="1" applyBorder="1" applyAlignment="1">
      <alignment wrapText="1"/>
    </xf>
    <xf numFmtId="4" fontId="13" fillId="2" borderId="696" xfId="0" applyFont="1" applyFill="1" applyBorder="1" applyAlignment="1">
      <alignment horizontal="center" wrapText="1"/>
    </xf>
    <xf numFmtId="4" fontId="6" fillId="2" borderId="1110" xfId="0" applyFont="1" applyFill="1" applyBorder="1" applyAlignment="1">
      <alignment horizontal="center" wrapText="1"/>
    </xf>
    <xf numFmtId="4" fontId="6" fillId="2" borderId="411" xfId="0" applyFont="1" applyFill="1" applyBorder="1" applyAlignment="1">
      <alignment wrapText="1"/>
    </xf>
    <xf numFmtId="4" fontId="6" fillId="2" borderId="32" xfId="0" applyFont="1" applyFill="1" applyBorder="1" applyAlignment="1">
      <alignment wrapText="1"/>
    </xf>
    <xf numFmtId="165" fontId="6" fillId="2" borderId="419" xfId="1" applyFont="1" applyFill="1" applyBorder="1" applyAlignment="1">
      <alignment horizontal="center"/>
    </xf>
    <xf numFmtId="4" fontId="6" fillId="2" borderId="418" xfId="0" applyFont="1" applyFill="1" applyBorder="1" applyAlignment="1">
      <alignment wrapText="1"/>
    </xf>
    <xf numFmtId="4" fontId="19" fillId="2" borderId="628" xfId="0" applyFont="1" applyFill="1" applyBorder="1" applyAlignment="1">
      <alignment wrapText="1"/>
    </xf>
    <xf numFmtId="4" fontId="6" fillId="2" borderId="226" xfId="0" applyFont="1" applyFill="1" applyBorder="1" applyAlignment="1">
      <alignment wrapText="1"/>
    </xf>
    <xf numFmtId="4" fontId="6" fillId="2" borderId="391" xfId="0" applyFont="1" applyFill="1" applyBorder="1"/>
    <xf numFmtId="4" fontId="19" fillId="2" borderId="32" xfId="0" applyFont="1" applyFill="1" applyBorder="1"/>
    <xf numFmtId="4" fontId="19" fillId="2" borderId="670" xfId="0" applyFont="1" applyFill="1" applyBorder="1" applyAlignment="1">
      <alignment wrapText="1"/>
    </xf>
    <xf numFmtId="4" fontId="19" fillId="2" borderId="692" xfId="0" applyFont="1" applyFill="1" applyBorder="1" applyAlignment="1">
      <alignment wrapText="1"/>
    </xf>
    <xf numFmtId="4" fontId="19" fillId="2" borderId="693" xfId="0" applyFont="1" applyFill="1" applyBorder="1" applyAlignment="1">
      <alignment wrapText="1"/>
    </xf>
    <xf numFmtId="0" fontId="19" fillId="2" borderId="693" xfId="2" applyFont="1" applyFill="1" applyBorder="1" applyAlignment="1">
      <alignment wrapText="1"/>
    </xf>
    <xf numFmtId="168" fontId="19" fillId="2" borderId="693" xfId="5" applyFont="1" applyFill="1" applyBorder="1" applyAlignment="1">
      <alignment wrapText="1"/>
    </xf>
    <xf numFmtId="4" fontId="19" fillId="2" borderId="681" xfId="0" applyFont="1" applyFill="1" applyBorder="1" applyAlignment="1">
      <alignment wrapText="1"/>
    </xf>
    <xf numFmtId="4" fontId="14" fillId="0" borderId="721" xfId="0" applyFont="1" applyBorder="1" applyAlignment="1">
      <alignment wrapText="1"/>
    </xf>
    <xf numFmtId="4" fontId="14" fillId="0" borderId="1087" xfId="0" applyFont="1" applyFill="1" applyBorder="1" applyAlignment="1">
      <alignment wrapText="1"/>
    </xf>
    <xf numFmtId="4" fontId="14" fillId="0" borderId="1088" xfId="0" applyFont="1" applyFill="1" applyBorder="1" applyAlignment="1">
      <alignment wrapText="1"/>
    </xf>
    <xf numFmtId="4" fontId="14" fillId="0" borderId="1089" xfId="0" applyFont="1" applyFill="1" applyBorder="1" applyAlignment="1">
      <alignment wrapText="1"/>
    </xf>
    <xf numFmtId="4" fontId="14" fillId="0" borderId="721" xfId="0" applyFont="1" applyFill="1" applyBorder="1" applyAlignment="1">
      <alignment wrapText="1"/>
    </xf>
    <xf numFmtId="4" fontId="0" fillId="0" borderId="1111" xfId="0" applyBorder="1"/>
    <xf numFmtId="4" fontId="0" fillId="0" borderId="1112" xfId="0" applyBorder="1"/>
    <xf numFmtId="4" fontId="0" fillId="0" borderId="1113" xfId="0" applyBorder="1"/>
    <xf numFmtId="4" fontId="0" fillId="0" borderId="1114" xfId="0" applyBorder="1"/>
    <xf numFmtId="4" fontId="6" fillId="2" borderId="1115" xfId="0" applyFont="1" applyFill="1" applyBorder="1" applyAlignment="1">
      <alignment horizontal="center" wrapText="1"/>
    </xf>
    <xf numFmtId="3" fontId="6" fillId="2" borderId="1115" xfId="0" applyNumberFormat="1" applyFont="1" applyFill="1" applyBorder="1" applyAlignment="1">
      <alignment horizontal="center" wrapText="1"/>
    </xf>
    <xf numFmtId="4" fontId="6" fillId="2" borderId="1116" xfId="0" applyFont="1" applyFill="1" applyBorder="1" applyAlignment="1">
      <alignment horizontal="center" wrapText="1"/>
    </xf>
    <xf numFmtId="4" fontId="0" fillId="2" borderId="1117" xfId="0" applyFill="1" applyBorder="1"/>
    <xf numFmtId="4" fontId="0" fillId="2" borderId="1118" xfId="0" applyFill="1" applyBorder="1"/>
    <xf numFmtId="4" fontId="0" fillId="2" borderId="1119" xfId="0" applyFill="1" applyBorder="1"/>
    <xf numFmtId="4" fontId="12" fillId="2" borderId="1119" xfId="0" applyFont="1" applyFill="1" applyBorder="1"/>
    <xf numFmtId="4" fontId="6" fillId="2" borderId="1120" xfId="0" applyFont="1" applyFill="1" applyBorder="1" applyAlignment="1">
      <alignment horizontal="center" wrapText="1"/>
    </xf>
    <xf numFmtId="4" fontId="12" fillId="0" borderId="1003" xfId="0" applyFont="1" applyBorder="1"/>
    <xf numFmtId="4" fontId="12" fillId="0" borderId="1004" xfId="0" applyFont="1" applyBorder="1"/>
    <xf numFmtId="4" fontId="12" fillId="0" borderId="1005" xfId="0" applyFont="1" applyBorder="1"/>
    <xf numFmtId="4" fontId="12" fillId="0" borderId="1121" xfId="0" applyFont="1" applyBorder="1"/>
    <xf numFmtId="4" fontId="12" fillId="0" borderId="1122" xfId="0" applyFont="1" applyBorder="1"/>
    <xf numFmtId="4" fontId="12" fillId="0" borderId="1123" xfId="0" applyFont="1" applyBorder="1"/>
    <xf numFmtId="4" fontId="12" fillId="2" borderId="1085" xfId="0" applyFont="1" applyFill="1" applyBorder="1"/>
    <xf numFmtId="3" fontId="12" fillId="2" borderId="1085" xfId="0" applyNumberFormat="1" applyFont="1" applyFill="1" applyBorder="1"/>
    <xf numFmtId="4" fontId="12" fillId="2" borderId="1124" xfId="0" applyFont="1" applyFill="1" applyBorder="1"/>
    <xf numFmtId="4" fontId="12" fillId="2" borderId="1003" xfId="0" applyFont="1" applyFill="1" applyBorder="1"/>
    <xf numFmtId="4" fontId="12" fillId="2" borderId="1004" xfId="0" applyFont="1" applyFill="1" applyBorder="1"/>
    <xf numFmtId="4" fontId="12" fillId="2" borderId="1023" xfId="0" applyFont="1" applyFill="1" applyBorder="1"/>
    <xf numFmtId="4" fontId="12" fillId="2" borderId="1086" xfId="0" applyFont="1" applyFill="1" applyBorder="1"/>
    <xf numFmtId="4" fontId="13" fillId="2" borderId="1125" xfId="0" applyFont="1" applyFill="1" applyBorder="1" applyAlignment="1">
      <alignment wrapText="1"/>
    </xf>
    <xf numFmtId="175" fontId="0" fillId="0" borderId="13" xfId="0" applyNumberFormat="1" applyBorder="1" applyAlignment="1">
      <alignment horizontal="left"/>
    </xf>
    <xf numFmtId="4" fontId="6" fillId="0" borderId="97" xfId="0" applyNumberFormat="1" applyFont="1" applyBorder="1" applyAlignment="1">
      <alignment horizontal="left"/>
    </xf>
    <xf numFmtId="4" fontId="19" fillId="0" borderId="13" xfId="0" applyNumberFormat="1" applyFont="1" applyBorder="1" applyAlignment="1">
      <alignment horizontal="left"/>
    </xf>
    <xf numFmtId="4" fontId="52" fillId="0" borderId="13" xfId="0" applyNumberFormat="1" applyFont="1" applyBorder="1" applyAlignment="1">
      <alignment horizontal="left"/>
    </xf>
    <xf numFmtId="4" fontId="6" fillId="0" borderId="13" xfId="0" applyNumberFormat="1" applyFont="1" applyBorder="1" applyAlignment="1">
      <alignment horizontal="left"/>
    </xf>
    <xf numFmtId="4" fontId="13" fillId="0" borderId="0" xfId="0" applyFont="1" applyFill="1" applyBorder="1" applyAlignment="1">
      <alignment horizontal="center"/>
    </xf>
    <xf numFmtId="4" fontId="13" fillId="0" borderId="710" xfId="0" applyFont="1" applyFill="1" applyBorder="1" applyAlignment="1">
      <alignment horizontal="center"/>
    </xf>
    <xf numFmtId="4" fontId="6" fillId="0" borderId="1020" xfId="0" applyFont="1" applyBorder="1" applyAlignment="1">
      <alignment horizontal="center"/>
    </xf>
    <xf numFmtId="170" fontId="19" fillId="0" borderId="1090" xfId="0" applyNumberFormat="1" applyFont="1" applyBorder="1" applyAlignment="1">
      <alignment horizontal="center"/>
    </xf>
    <xf numFmtId="4" fontId="13" fillId="0" borderId="721" xfId="0" applyFont="1" applyFill="1" applyBorder="1" applyAlignment="1">
      <alignment horizontal="center"/>
    </xf>
    <xf numFmtId="170" fontId="52" fillId="0" borderId="1090" xfId="0" applyNumberFormat="1" applyFont="1" applyBorder="1" applyAlignment="1">
      <alignment horizontal="center"/>
    </xf>
    <xf numFmtId="170" fontId="6" fillId="0" borderId="1090" xfId="0" applyNumberFormat="1" applyFont="1" applyBorder="1" applyAlignment="1">
      <alignment horizontal="center"/>
    </xf>
    <xf numFmtId="4" fontId="0" fillId="0" borderId="1090" xfId="0" applyBorder="1" applyAlignment="1">
      <alignment horizontal="center"/>
    </xf>
    <xf numFmtId="4" fontId="13" fillId="0" borderId="677" xfId="0" applyFont="1" applyFill="1" applyBorder="1" applyAlignment="1">
      <alignment horizontal="center"/>
    </xf>
    <xf numFmtId="4" fontId="0" fillId="0" borderId="678" xfId="0" applyBorder="1" applyAlignment="1">
      <alignment horizontal="center"/>
    </xf>
    <xf numFmtId="4" fontId="14" fillId="0" borderId="1007" xfId="0" applyFont="1" applyBorder="1"/>
    <xf numFmtId="4" fontId="14" fillId="0" borderId="1028" xfId="0" applyFont="1" applyBorder="1" applyAlignment="1">
      <alignment wrapText="1"/>
    </xf>
    <xf numFmtId="4" fontId="14" fillId="2" borderId="1006" xfId="0" applyFont="1" applyFill="1" applyBorder="1" applyAlignment="1">
      <alignment wrapText="1"/>
    </xf>
    <xf numFmtId="4" fontId="51" fillId="2" borderId="1007" xfId="0" applyFont="1" applyFill="1" applyBorder="1" applyAlignment="1">
      <alignment wrapText="1"/>
    </xf>
    <xf numFmtId="4" fontId="14" fillId="2" borderId="1126" xfId="0" applyFont="1" applyFill="1" applyBorder="1" applyAlignment="1">
      <alignment wrapText="1"/>
    </xf>
    <xf numFmtId="4" fontId="14" fillId="2" borderId="1127" xfId="0" applyFont="1" applyFill="1" applyBorder="1" applyAlignment="1">
      <alignment wrapText="1"/>
    </xf>
    <xf numFmtId="4" fontId="12" fillId="2" borderId="1129" xfId="0" applyFont="1" applyFill="1" applyBorder="1" applyAlignment="1">
      <alignment wrapText="1"/>
    </xf>
    <xf numFmtId="4" fontId="12" fillId="2" borderId="1130" xfId="0" applyFont="1" applyFill="1" applyBorder="1" applyAlignment="1">
      <alignment wrapText="1"/>
    </xf>
    <xf numFmtId="4" fontId="12" fillId="2" borderId="241" xfId="0" applyFont="1" applyFill="1" applyBorder="1" applyAlignment="1">
      <alignment wrapText="1"/>
    </xf>
    <xf numFmtId="4" fontId="12" fillId="2" borderId="1131" xfId="0" applyFont="1" applyFill="1" applyBorder="1" applyAlignment="1">
      <alignment wrapText="1"/>
    </xf>
    <xf numFmtId="4" fontId="12" fillId="2" borderId="1132" xfId="0" applyFont="1" applyFill="1" applyBorder="1" applyAlignment="1">
      <alignment wrapText="1"/>
    </xf>
    <xf numFmtId="4" fontId="13" fillId="0" borderId="1133" xfId="0" applyFont="1" applyBorder="1"/>
    <xf numFmtId="4" fontId="14" fillId="0" borderId="1132" xfId="0" applyFont="1" applyBorder="1" applyAlignment="1">
      <alignment wrapText="1"/>
    </xf>
    <xf numFmtId="4" fontId="13" fillId="0" borderId="1133" xfId="0" applyFont="1" applyFill="1" applyBorder="1"/>
    <xf numFmtId="4" fontId="13" fillId="3" borderId="1068" xfId="0" applyFont="1" applyFill="1" applyBorder="1"/>
    <xf numFmtId="4" fontId="13" fillId="0" borderId="1134" xfId="0" applyFont="1" applyBorder="1"/>
    <xf numFmtId="4" fontId="14" fillId="0" borderId="1135" xfId="0" applyFont="1" applyBorder="1" applyAlignment="1">
      <alignment wrapText="1"/>
    </xf>
    <xf numFmtId="4" fontId="14" fillId="2" borderId="1136" xfId="0" applyFont="1" applyFill="1" applyBorder="1" applyAlignment="1">
      <alignment wrapText="1"/>
    </xf>
    <xf numFmtId="4" fontId="14" fillId="2" borderId="1137" xfId="0" applyFont="1" applyFill="1" applyBorder="1" applyAlignment="1">
      <alignment wrapText="1"/>
    </xf>
    <xf numFmtId="4" fontId="12" fillId="2" borderId="1138" xfId="0" applyFont="1" applyFill="1" applyBorder="1"/>
    <xf numFmtId="4" fontId="12" fillId="2" borderId="1137" xfId="0" applyFont="1" applyFill="1" applyBorder="1"/>
    <xf numFmtId="4" fontId="6" fillId="2" borderId="1139" xfId="0" applyFont="1" applyFill="1" applyBorder="1" applyAlignment="1">
      <alignment horizontal="center" wrapText="1"/>
    </xf>
    <xf numFmtId="3" fontId="6" fillId="2" borderId="1140" xfId="0" applyNumberFormat="1" applyFont="1" applyFill="1" applyBorder="1" applyAlignment="1">
      <alignment horizontal="center" wrapText="1"/>
    </xf>
    <xf numFmtId="4" fontId="6" fillId="2" borderId="1140" xfId="0" applyFont="1" applyFill="1" applyBorder="1" applyAlignment="1">
      <alignment horizontal="center" wrapText="1"/>
    </xf>
    <xf numFmtId="165" fontId="12" fillId="2" borderId="1023" xfId="1" applyFont="1" applyFill="1" applyBorder="1" applyAlignment="1">
      <alignment horizontal="center"/>
    </xf>
    <xf numFmtId="165" fontId="12" fillId="2" borderId="1003" xfId="1" applyFont="1" applyFill="1" applyBorder="1" applyAlignment="1">
      <alignment horizontal="center"/>
    </xf>
    <xf numFmtId="4" fontId="12" fillId="0" borderId="1141" xfId="0" applyFont="1" applyBorder="1" applyAlignment="1">
      <alignment wrapText="1"/>
    </xf>
    <xf numFmtId="3" fontId="12" fillId="2" borderId="1085" xfId="1" applyNumberFormat="1" applyFont="1" applyFill="1" applyBorder="1" applyAlignment="1">
      <alignment horizontal="center"/>
    </xf>
    <xf numFmtId="165" fontId="12" fillId="2" borderId="1085" xfId="1" applyFont="1" applyFill="1" applyBorder="1" applyAlignment="1">
      <alignment horizontal="center"/>
    </xf>
    <xf numFmtId="0" fontId="30" fillId="4" borderId="1106" xfId="3" applyFont="1" applyFill="1" applyBorder="1"/>
    <xf numFmtId="0" fontId="33" fillId="0" borderId="1142" xfId="3" applyFont="1" applyBorder="1"/>
    <xf numFmtId="0" fontId="26" fillId="0" borderId="1143" xfId="3" applyFont="1" applyBorder="1"/>
    <xf numFmtId="0" fontId="26" fillId="4" borderId="1106" xfId="3" applyFont="1" applyFill="1" applyBorder="1"/>
    <xf numFmtId="0" fontId="28" fillId="4" borderId="1144" xfId="3" applyFont="1" applyFill="1" applyBorder="1" applyAlignment="1">
      <alignment horizontal="center" wrapText="1"/>
    </xf>
    <xf numFmtId="0" fontId="28" fillId="4" borderId="158" xfId="3" applyFont="1" applyFill="1" applyBorder="1" applyAlignment="1">
      <alignment horizontal="center" wrapText="1"/>
    </xf>
    <xf numFmtId="0" fontId="28" fillId="4" borderId="678" xfId="3" applyFont="1" applyFill="1" applyBorder="1" applyAlignment="1">
      <alignment horizontal="center" vertical="center"/>
    </xf>
    <xf numFmtId="0" fontId="26" fillId="5" borderId="474" xfId="3" applyFont="1" applyFill="1" applyBorder="1"/>
    <xf numFmtId="0" fontId="26" fillId="5" borderId="37" xfId="3" applyFont="1" applyFill="1" applyBorder="1"/>
    <xf numFmtId="0" fontId="26" fillId="5" borderId="38" xfId="3" applyFont="1" applyFill="1" applyBorder="1"/>
    <xf numFmtId="168" fontId="26" fillId="7" borderId="1145" xfId="5" applyFont="1" applyFill="1" applyBorder="1"/>
    <xf numFmtId="168" fontId="26" fillId="7" borderId="37" xfId="5" applyFont="1" applyFill="1" applyBorder="1"/>
    <xf numFmtId="164" fontId="26" fillId="5" borderId="38" xfId="3" applyNumberFormat="1" applyFont="1" applyFill="1" applyBorder="1"/>
    <xf numFmtId="168" fontId="26" fillId="5" borderId="474" xfId="5" applyFont="1" applyFill="1" applyBorder="1"/>
    <xf numFmtId="168" fontId="26" fillId="5" borderId="37" xfId="5" applyFont="1" applyFill="1" applyBorder="1"/>
    <xf numFmtId="9" fontId="26" fillId="7" borderId="1003" xfId="3" applyNumberFormat="1" applyFont="1" applyFill="1" applyBorder="1"/>
    <xf numFmtId="9" fontId="26" fillId="7" borderId="37" xfId="3" applyNumberFormat="1" applyFont="1" applyFill="1" applyBorder="1"/>
    <xf numFmtId="0" fontId="30" fillId="5" borderId="474" xfId="3" applyFont="1" applyFill="1" applyBorder="1"/>
    <xf numFmtId="0" fontId="30" fillId="5" borderId="37" xfId="3" applyFont="1" applyFill="1" applyBorder="1"/>
    <xf numFmtId="0" fontId="30" fillId="5" borderId="38" xfId="3" applyFont="1" applyFill="1" applyBorder="1"/>
    <xf numFmtId="0" fontId="30" fillId="7" borderId="1145" xfId="3" applyFont="1" applyFill="1" applyBorder="1"/>
    <xf numFmtId="0" fontId="30" fillId="7" borderId="37" xfId="3" applyFont="1" applyFill="1" applyBorder="1"/>
    <xf numFmtId="0" fontId="26" fillId="7" borderId="1146" xfId="3" applyFont="1" applyFill="1" applyBorder="1"/>
    <xf numFmtId="0" fontId="26" fillId="7" borderId="37" xfId="3" applyFont="1" applyFill="1" applyBorder="1"/>
    <xf numFmtId="0" fontId="26" fillId="6" borderId="1144" xfId="3" applyFont="1" applyFill="1" applyBorder="1"/>
    <xf numFmtId="0" fontId="26" fillId="6" borderId="158" xfId="3" applyFont="1" applyFill="1" applyBorder="1"/>
    <xf numFmtId="0" fontId="26" fillId="5" borderId="678" xfId="3" applyFont="1" applyFill="1" applyBorder="1"/>
    <xf numFmtId="3" fontId="12" fillId="0" borderId="1014" xfId="0" applyNumberFormat="1" applyFont="1" applyBorder="1"/>
    <xf numFmtId="4" fontId="12" fillId="2" borderId="952" xfId="1" applyNumberFormat="1" applyFont="1" applyFill="1" applyBorder="1" applyAlignment="1">
      <alignment horizontal="center"/>
    </xf>
    <xf numFmtId="4" fontId="13" fillId="0" borderId="0" xfId="0" applyFont="1" applyFill="1" applyBorder="1" applyAlignment="1">
      <alignment vertical="center" wrapText="1"/>
    </xf>
    <xf numFmtId="4" fontId="0" fillId="0" borderId="0" xfId="0" applyAlignment="1"/>
    <xf numFmtId="4" fontId="13" fillId="0" borderId="0" xfId="0" applyFont="1" applyFill="1" applyBorder="1" applyAlignment="1">
      <alignment horizontal="right" vertical="center" wrapText="1"/>
    </xf>
    <xf numFmtId="4" fontId="20" fillId="0" borderId="0" xfId="0" applyFont="1" applyFill="1" applyBorder="1" applyAlignment="1">
      <alignment vertical="center" wrapText="1"/>
    </xf>
    <xf numFmtId="4" fontId="13" fillId="0" borderId="0" xfId="0" applyFont="1" applyFill="1" applyBorder="1" applyAlignment="1">
      <alignment horizontal="right" vertical="center"/>
    </xf>
    <xf numFmtId="4" fontId="20" fillId="0" borderId="0" xfId="0" applyFont="1" applyFill="1" applyBorder="1" applyAlignment="1">
      <alignment vertical="center"/>
    </xf>
    <xf numFmtId="4" fontId="13" fillId="0" borderId="0" xfId="0" applyFont="1"/>
    <xf numFmtId="3" fontId="12" fillId="0" borderId="390" xfId="0" applyNumberFormat="1" applyFont="1" applyBorder="1"/>
    <xf numFmtId="4" fontId="55" fillId="0" borderId="0" xfId="0" applyFont="1" applyAlignment="1">
      <alignment vertical="center"/>
    </xf>
    <xf numFmtId="4" fontId="55" fillId="0" borderId="0" xfId="0" applyFont="1" applyAlignment="1">
      <alignment horizontal="center"/>
    </xf>
    <xf numFmtId="4" fontId="55" fillId="0" borderId="0" xfId="0" applyNumberFormat="1" applyFont="1"/>
    <xf numFmtId="4" fontId="56" fillId="16" borderId="1148" xfId="0" applyFont="1" applyFill="1" applyBorder="1" applyAlignment="1">
      <alignment vertical="center" wrapText="1"/>
    </xf>
    <xf numFmtId="4" fontId="56" fillId="16" borderId="1152" xfId="0" applyFont="1" applyFill="1" applyBorder="1" applyAlignment="1">
      <alignment vertical="center" wrapText="1"/>
    </xf>
    <xf numFmtId="4" fontId="56" fillId="16" borderId="1153" xfId="0" applyFont="1" applyFill="1" applyBorder="1" applyAlignment="1">
      <alignment horizontal="center" vertical="center" wrapText="1"/>
    </xf>
    <xf numFmtId="4" fontId="56" fillId="16" borderId="1153" xfId="0" applyNumberFormat="1" applyFont="1" applyFill="1" applyBorder="1" applyAlignment="1">
      <alignment horizontal="center" vertical="center" wrapText="1"/>
    </xf>
    <xf numFmtId="4" fontId="56" fillId="16" borderId="1143" xfId="0" applyNumberFormat="1" applyFont="1" applyFill="1" applyBorder="1" applyAlignment="1">
      <alignment horizontal="center" vertical="center" wrapText="1"/>
    </xf>
    <xf numFmtId="4" fontId="56" fillId="16" borderId="1152" xfId="0" applyFont="1" applyFill="1" applyBorder="1" applyAlignment="1">
      <alignment horizontal="center" vertical="center" wrapText="1"/>
    </xf>
    <xf numFmtId="4" fontId="0" fillId="0" borderId="0" xfId="0" applyNumberFormat="1"/>
    <xf numFmtId="4" fontId="57" fillId="0" borderId="1112" xfId="0" applyFont="1" applyBorder="1"/>
    <xf numFmtId="4" fontId="57" fillId="0" borderId="1155" xfId="0" applyNumberFormat="1" applyFont="1" applyBorder="1"/>
    <xf numFmtId="4" fontId="57" fillId="0" borderId="1156" xfId="0" applyFont="1" applyBorder="1"/>
    <xf numFmtId="4" fontId="57" fillId="0" borderId="1112" xfId="0" applyNumberFormat="1" applyFont="1" applyBorder="1"/>
    <xf numFmtId="4" fontId="0" fillId="0" borderId="1153" xfId="0" applyBorder="1"/>
    <xf numFmtId="4" fontId="57" fillId="0" borderId="1159" xfId="0" applyFont="1" applyBorder="1" applyAlignment="1">
      <alignment wrapText="1"/>
    </xf>
    <xf numFmtId="4" fontId="57" fillId="0" borderId="1160" xfId="0" applyFont="1" applyBorder="1" applyAlignment="1">
      <alignment wrapText="1"/>
    </xf>
    <xf numFmtId="4" fontId="57" fillId="0" borderId="1161" xfId="0" applyFont="1" applyBorder="1" applyAlignment="1">
      <alignment wrapText="1"/>
    </xf>
    <xf numFmtId="4" fontId="57" fillId="0" borderId="1161" xfId="0" applyFont="1" applyBorder="1" applyAlignment="1">
      <alignment horizontal="center" wrapText="1"/>
    </xf>
    <xf numFmtId="4" fontId="57" fillId="0" borderId="1162" xfId="0" applyFont="1" applyBorder="1" applyAlignment="1">
      <alignment horizontal="center" wrapText="1"/>
    </xf>
    <xf numFmtId="4" fontId="57" fillId="0" borderId="497" xfId="0" applyFont="1" applyBorder="1" applyAlignment="1">
      <alignment wrapText="1"/>
    </xf>
    <xf numFmtId="4" fontId="57" fillId="0" borderId="1163" xfId="0" applyFont="1" applyBorder="1" applyAlignment="1">
      <alignment wrapText="1"/>
    </xf>
    <xf numFmtId="4" fontId="57" fillId="0" borderId="1164" xfId="0" applyFont="1" applyBorder="1" applyAlignment="1">
      <alignment wrapText="1"/>
    </xf>
    <xf numFmtId="4" fontId="57" fillId="0" borderId="1155" xfId="0" applyFont="1" applyBorder="1" applyAlignment="1">
      <alignment wrapText="1"/>
    </xf>
    <xf numFmtId="4" fontId="57" fillId="0" borderId="1165" xfId="0" applyFont="1" applyBorder="1" applyAlignment="1">
      <alignment wrapText="1"/>
    </xf>
    <xf numFmtId="4" fontId="57" fillId="0" borderId="1166" xfId="0" applyFont="1" applyBorder="1" applyAlignment="1">
      <alignment wrapText="1"/>
    </xf>
    <xf numFmtId="4" fontId="57" fillId="0" borderId="1167" xfId="0" applyFont="1" applyBorder="1" applyAlignment="1">
      <alignment wrapText="1"/>
    </xf>
    <xf numFmtId="4" fontId="57" fillId="0" borderId="1163" xfId="0" applyFont="1" applyFill="1" applyBorder="1" applyAlignment="1">
      <alignment wrapText="1"/>
    </xf>
    <xf numFmtId="4" fontId="57" fillId="0" borderId="1164" xfId="0" applyFont="1" applyFill="1" applyBorder="1" applyAlignment="1">
      <alignment wrapText="1"/>
    </xf>
    <xf numFmtId="4" fontId="57" fillId="0" borderId="465" xfId="0" applyFont="1" applyBorder="1" applyAlignment="1">
      <alignment wrapText="1"/>
    </xf>
    <xf numFmtId="4" fontId="57" fillId="0" borderId="1035" xfId="0" applyFont="1" applyBorder="1" applyAlignment="1">
      <alignment wrapText="1"/>
    </xf>
    <xf numFmtId="4" fontId="20" fillId="0" borderId="0" xfId="0" applyFont="1"/>
    <xf numFmtId="4" fontId="58" fillId="0" borderId="1147" xfId="0" applyFont="1" applyBorder="1" applyAlignment="1">
      <alignment wrapText="1"/>
    </xf>
    <xf numFmtId="4" fontId="58" fillId="0" borderId="1168" xfId="0" applyFont="1" applyBorder="1" applyAlignment="1">
      <alignment wrapText="1"/>
    </xf>
    <xf numFmtId="4" fontId="58" fillId="0" borderId="1168" xfId="0" applyNumberFormat="1" applyFont="1" applyBorder="1"/>
    <xf numFmtId="3" fontId="58" fillId="0" borderId="1169" xfId="0" applyNumberFormat="1" applyFont="1" applyBorder="1"/>
    <xf numFmtId="3" fontId="58" fillId="0" borderId="1170" xfId="0" applyNumberFormat="1" applyFont="1" applyBorder="1"/>
    <xf numFmtId="3" fontId="58" fillId="0" borderId="1168" xfId="0" applyNumberFormat="1" applyFont="1" applyBorder="1"/>
    <xf numFmtId="4" fontId="57" fillId="0" borderId="1171" xfId="0" applyFont="1" applyBorder="1" applyAlignment="1">
      <alignment wrapText="1"/>
    </xf>
    <xf numFmtId="4" fontId="57" fillId="0" borderId="1035" xfId="0" applyFont="1" applyBorder="1" applyAlignment="1">
      <alignment horizontal="center" wrapText="1"/>
    </xf>
    <xf numFmtId="4" fontId="57" fillId="0" borderId="1172" xfId="0" applyFont="1" applyBorder="1" applyAlignment="1">
      <alignment horizontal="center" wrapText="1"/>
    </xf>
    <xf numFmtId="4" fontId="57" fillId="0" borderId="453" xfId="0" applyNumberFormat="1" applyFont="1" applyBorder="1"/>
    <xf numFmtId="4" fontId="57" fillId="0" borderId="1155" xfId="0" applyFont="1" applyBorder="1"/>
    <xf numFmtId="4" fontId="57" fillId="0" borderId="1143" xfId="0" applyFont="1" applyBorder="1"/>
    <xf numFmtId="4" fontId="57" fillId="0" borderId="1152" xfId="0" applyFont="1" applyBorder="1"/>
    <xf numFmtId="4" fontId="57" fillId="0" borderId="1153" xfId="0" applyFont="1" applyBorder="1"/>
    <xf numFmtId="4" fontId="57" fillId="0" borderId="1173" xfId="0" applyFont="1" applyBorder="1" applyAlignment="1">
      <alignment wrapText="1"/>
    </xf>
    <xf numFmtId="4" fontId="57" fillId="0" borderId="1163" xfId="0" quotePrefix="1" applyFont="1" applyBorder="1" applyAlignment="1">
      <alignment wrapText="1"/>
    </xf>
    <xf numFmtId="4" fontId="57" fillId="0" borderId="1174" xfId="0" applyFont="1" applyBorder="1" applyAlignment="1">
      <alignment wrapText="1"/>
    </xf>
    <xf numFmtId="4" fontId="57" fillId="0" borderId="1175" xfId="0" applyFont="1" applyBorder="1" applyAlignment="1">
      <alignment wrapText="1"/>
    </xf>
    <xf numFmtId="4" fontId="58" fillId="0" borderId="1169" xfId="0" applyFont="1" applyBorder="1" applyAlignment="1">
      <alignment wrapText="1"/>
    </xf>
    <xf numFmtId="4" fontId="58" fillId="0" borderId="1176" xfId="0" applyNumberFormat="1" applyFont="1" applyBorder="1"/>
    <xf numFmtId="4" fontId="57" fillId="0" borderId="1177" xfId="0" applyFont="1" applyBorder="1" applyAlignment="1">
      <alignment wrapText="1"/>
    </xf>
    <xf numFmtId="4" fontId="57" fillId="0" borderId="1112" xfId="0" applyFont="1" applyBorder="1" applyAlignment="1">
      <alignment wrapText="1"/>
    </xf>
    <xf numFmtId="4" fontId="57" fillId="0" borderId="1178" xfId="0" applyNumberFormat="1" applyFont="1" applyBorder="1"/>
    <xf numFmtId="4" fontId="0" fillId="0" borderId="1142" xfId="0" applyNumberFormat="1" applyBorder="1"/>
    <xf numFmtId="4" fontId="57" fillId="0" borderId="1179" xfId="0" applyFont="1" applyBorder="1" applyAlignment="1">
      <alignment horizontal="center" wrapText="1"/>
    </xf>
    <xf numFmtId="4" fontId="0" fillId="0" borderId="1178" xfId="0" applyNumberFormat="1" applyBorder="1"/>
    <xf numFmtId="4" fontId="57" fillId="0" borderId="1143" xfId="0" applyNumberFormat="1" applyFont="1" applyBorder="1"/>
    <xf numFmtId="4" fontId="57" fillId="0" borderId="1153" xfId="0" applyNumberFormat="1" applyFont="1" applyBorder="1"/>
    <xf numFmtId="4" fontId="57" fillId="0" borderId="1183" xfId="0" applyFont="1" applyBorder="1" applyAlignment="1">
      <alignment wrapText="1"/>
    </xf>
    <xf numFmtId="4" fontId="57" fillId="0" borderId="1184" xfId="0" applyFont="1" applyBorder="1" applyAlignment="1">
      <alignment wrapText="1"/>
    </xf>
    <xf numFmtId="4" fontId="57" fillId="0" borderId="1185" xfId="0" applyFont="1" applyBorder="1" applyAlignment="1">
      <alignment wrapText="1"/>
    </xf>
    <xf numFmtId="4" fontId="57" fillId="0" borderId="1186" xfId="0" applyFont="1" applyBorder="1" applyAlignment="1">
      <alignment wrapText="1"/>
    </xf>
    <xf numFmtId="4" fontId="57" fillId="0" borderId="1187" xfId="0" applyFont="1" applyBorder="1" applyAlignment="1">
      <alignment wrapText="1"/>
    </xf>
    <xf numFmtId="4" fontId="57" fillId="0" borderId="1174" xfId="0" applyFont="1" applyFill="1" applyBorder="1" applyAlignment="1">
      <alignment wrapText="1"/>
    </xf>
    <xf numFmtId="4" fontId="57" fillId="0" borderId="465" xfId="0" applyFont="1" applyFill="1" applyBorder="1" applyAlignment="1">
      <alignment wrapText="1"/>
    </xf>
    <xf numFmtId="4" fontId="58" fillId="0" borderId="1169" xfId="0" applyNumberFormat="1" applyFont="1" applyBorder="1"/>
    <xf numFmtId="4" fontId="57" fillId="0" borderId="1188" xfId="0" applyFont="1" applyBorder="1" applyAlignment="1">
      <alignment wrapText="1"/>
    </xf>
    <xf numFmtId="4" fontId="57" fillId="0" borderId="1189" xfId="0" applyFont="1" applyBorder="1" applyAlignment="1">
      <alignment wrapText="1"/>
    </xf>
    <xf numFmtId="3" fontId="58" fillId="0" borderId="1176" xfId="0" applyNumberFormat="1" applyFont="1" applyBorder="1"/>
    <xf numFmtId="4" fontId="57" fillId="0" borderId="1190" xfId="0" applyFont="1" applyBorder="1" applyAlignment="1">
      <alignment wrapText="1"/>
    </xf>
    <xf numFmtId="4" fontId="57" fillId="0" borderId="1133" xfId="0" applyFont="1" applyBorder="1" applyAlignment="1">
      <alignment wrapText="1"/>
    </xf>
    <xf numFmtId="4" fontId="57" fillId="0" borderId="453" xfId="0" applyFont="1" applyBorder="1" applyAlignment="1">
      <alignment wrapText="1"/>
    </xf>
    <xf numFmtId="4" fontId="57" fillId="0" borderId="1191" xfId="0" applyFont="1" applyBorder="1" applyAlignment="1">
      <alignment wrapText="1"/>
    </xf>
    <xf numFmtId="4" fontId="57" fillId="0" borderId="474" xfId="0" applyFont="1" applyFill="1" applyBorder="1" applyAlignment="1">
      <alignment wrapText="1"/>
    </xf>
    <xf numFmtId="4" fontId="57" fillId="0" borderId="37" xfId="0" applyFont="1" applyBorder="1" applyAlignment="1">
      <alignment wrapText="1"/>
    </xf>
    <xf numFmtId="4" fontId="57" fillId="0" borderId="32" xfId="0" applyFont="1" applyBorder="1" applyAlignment="1">
      <alignment wrapText="1"/>
    </xf>
    <xf numFmtId="4" fontId="57" fillId="0" borderId="1043" xfId="0" applyFont="1" applyBorder="1" applyAlignment="1">
      <alignment wrapText="1"/>
    </xf>
    <xf numFmtId="4" fontId="57" fillId="0" borderId="1194" xfId="0" applyFont="1" applyFill="1" applyBorder="1" applyAlignment="1">
      <alignment wrapText="1"/>
    </xf>
    <xf numFmtId="4" fontId="57" fillId="0" borderId="1195" xfId="0" applyFont="1" applyBorder="1" applyAlignment="1">
      <alignment wrapText="1"/>
    </xf>
    <xf numFmtId="4" fontId="57" fillId="0" borderId="1194" xfId="0" applyFont="1" applyBorder="1" applyAlignment="1">
      <alignment wrapText="1"/>
    </xf>
    <xf numFmtId="4" fontId="57" fillId="0" borderId="1196" xfId="0" applyFont="1" applyBorder="1" applyAlignment="1">
      <alignment wrapText="1"/>
    </xf>
    <xf numFmtId="4" fontId="55" fillId="0" borderId="0" xfId="0" applyNumberFormat="1" applyFont="1" applyFill="1"/>
    <xf numFmtId="4" fontId="56" fillId="0" borderId="1154" xfId="0" applyNumberFormat="1" applyFont="1" applyFill="1" applyBorder="1" applyAlignment="1">
      <alignment horizontal="center" vertical="center" wrapText="1"/>
    </xf>
    <xf numFmtId="4" fontId="57" fillId="0" borderId="1114" xfId="0" applyNumberFormat="1" applyFont="1" applyFill="1" applyBorder="1"/>
    <xf numFmtId="4" fontId="0" fillId="0" borderId="0" xfId="0" applyNumberFormat="1" applyFill="1"/>
    <xf numFmtId="4" fontId="56" fillId="0" borderId="1150" xfId="0" applyFont="1" applyFill="1" applyBorder="1" applyAlignment="1">
      <alignment horizontal="center" vertical="center" wrapText="1"/>
    </xf>
    <xf numFmtId="176" fontId="0" fillId="0" borderId="0" xfId="0" applyNumberFormat="1" applyFill="1"/>
    <xf numFmtId="37" fontId="13" fillId="15" borderId="433" xfId="3" applyNumberFormat="1" applyFont="1" applyFill="1" applyBorder="1"/>
    <xf numFmtId="3" fontId="20" fillId="12" borderId="75" xfId="0" applyNumberFormat="1" applyFont="1" applyFill="1" applyBorder="1" applyAlignment="1">
      <alignment horizontal="justify" vertical="center" wrapText="1"/>
    </xf>
    <xf numFmtId="3" fontId="26" fillId="7" borderId="474" xfId="5" applyNumberFormat="1" applyFont="1" applyFill="1" applyBorder="1"/>
    <xf numFmtId="4" fontId="13" fillId="0" borderId="0" xfId="0" applyFont="1" applyFill="1" applyBorder="1" applyAlignment="1">
      <alignment vertical="center" wrapText="1"/>
    </xf>
    <xf numFmtId="4" fontId="0" fillId="0" borderId="0" xfId="0" applyAlignment="1"/>
    <xf numFmtId="4" fontId="12" fillId="0" borderId="6" xfId="0" applyFont="1" applyBorder="1" applyAlignment="1">
      <alignment wrapText="1"/>
    </xf>
    <xf numFmtId="4" fontId="14" fillId="0" borderId="0" xfId="0" applyFont="1" applyBorder="1" applyAlignment="1">
      <alignment wrapText="1"/>
    </xf>
    <xf numFmtId="4" fontId="12" fillId="0" borderId="202" xfId="0" applyFont="1" applyBorder="1" applyAlignment="1">
      <alignment wrapText="1"/>
    </xf>
    <xf numFmtId="4" fontId="0" fillId="0" borderId="203" xfId="0" applyBorder="1" applyAlignment="1">
      <alignment wrapText="1"/>
    </xf>
    <xf numFmtId="4" fontId="0" fillId="0" borderId="275" xfId="0" applyBorder="1" applyAlignment="1">
      <alignment wrapText="1"/>
    </xf>
    <xf numFmtId="4" fontId="12" fillId="2" borderId="6" xfId="0" applyFont="1" applyFill="1" applyBorder="1" applyAlignment="1">
      <alignment wrapText="1"/>
    </xf>
    <xf numFmtId="4" fontId="0" fillId="2" borderId="0" xfId="0" applyFill="1" applyBorder="1" applyAlignment="1">
      <alignment wrapText="1"/>
    </xf>
    <xf numFmtId="4" fontId="0" fillId="0" borderId="0" xfId="0" applyBorder="1" applyAlignment="1">
      <alignment wrapText="1"/>
    </xf>
    <xf numFmtId="4" fontId="12" fillId="0" borderId="112" xfId="0" applyFont="1" applyBorder="1" applyAlignment="1">
      <alignment wrapText="1"/>
    </xf>
    <xf numFmtId="4" fontId="0" fillId="0" borderId="12" xfId="0" applyBorder="1" applyAlignment="1">
      <alignment wrapText="1"/>
    </xf>
    <xf numFmtId="4" fontId="12" fillId="0" borderId="2" xfId="0" applyFont="1" applyFill="1" applyBorder="1" applyAlignment="1">
      <alignment wrapText="1"/>
    </xf>
    <xf numFmtId="4" fontId="0" fillId="0" borderId="69" xfId="0" applyBorder="1" applyAlignment="1">
      <alignment wrapText="1"/>
    </xf>
    <xf numFmtId="4" fontId="12" fillId="2" borderId="185" xfId="0" applyFont="1" applyFill="1" applyBorder="1" applyAlignment="1">
      <alignment wrapText="1"/>
    </xf>
    <xf numFmtId="4" fontId="0" fillId="2" borderId="186" xfId="0" applyFill="1" applyBorder="1" applyAlignment="1">
      <alignment wrapText="1"/>
    </xf>
    <xf numFmtId="4" fontId="0" fillId="2" borderId="258" xfId="0" applyFill="1" applyBorder="1" applyAlignment="1">
      <alignment wrapText="1"/>
    </xf>
    <xf numFmtId="4" fontId="12" fillId="0" borderId="6" xfId="0" applyFont="1" applyBorder="1" applyAlignment="1">
      <alignment horizontal="left" wrapText="1"/>
    </xf>
    <xf numFmtId="4" fontId="0" fillId="0" borderId="0" xfId="0" applyBorder="1" applyAlignment="1">
      <alignment horizontal="left" wrapText="1"/>
    </xf>
    <xf numFmtId="4" fontId="12" fillId="0" borderId="180" xfId="0" applyFont="1" applyBorder="1" applyAlignment="1">
      <alignment wrapText="1"/>
    </xf>
    <xf numFmtId="4" fontId="0" fillId="0" borderId="181" xfId="0" applyBorder="1" applyAlignment="1">
      <alignment wrapText="1"/>
    </xf>
    <xf numFmtId="4" fontId="12" fillId="0" borderId="189" xfId="0" applyFont="1" applyBorder="1" applyAlignment="1">
      <alignment wrapText="1"/>
    </xf>
    <xf numFmtId="4" fontId="12" fillId="0" borderId="111" xfId="0" applyFont="1" applyBorder="1" applyAlignment="1">
      <alignment wrapText="1"/>
    </xf>
    <xf numFmtId="4" fontId="0" fillId="0" borderId="108" xfId="0" applyBorder="1" applyAlignment="1">
      <alignment wrapText="1"/>
    </xf>
    <xf numFmtId="4" fontId="12" fillId="2" borderId="115" xfId="0" applyFont="1" applyFill="1" applyBorder="1" applyAlignment="1">
      <alignment wrapText="1"/>
    </xf>
    <xf numFmtId="4" fontId="0" fillId="2" borderId="102" xfId="0" applyFill="1" applyBorder="1" applyAlignment="1">
      <alignment wrapText="1"/>
    </xf>
    <xf numFmtId="4" fontId="12" fillId="0" borderId="163" xfId="0" applyFont="1" applyBorder="1" applyAlignment="1">
      <alignment wrapText="1"/>
    </xf>
    <xf numFmtId="4" fontId="0" fillId="0" borderId="68" xfId="0" applyBorder="1" applyAlignment="1">
      <alignment wrapText="1"/>
    </xf>
    <xf numFmtId="4" fontId="12" fillId="0" borderId="704" xfId="0" applyFont="1" applyBorder="1" applyAlignment="1">
      <alignment wrapText="1"/>
    </xf>
    <xf numFmtId="4" fontId="11" fillId="0" borderId="1128" xfId="0" applyFont="1" applyBorder="1" applyAlignment="1">
      <alignment wrapText="1"/>
    </xf>
    <xf numFmtId="4" fontId="12" fillId="0" borderId="171" xfId="0" applyFont="1" applyBorder="1" applyAlignment="1">
      <alignment wrapText="1"/>
    </xf>
    <xf numFmtId="4" fontId="0" fillId="0" borderId="172" xfId="0" applyBorder="1" applyAlignment="1">
      <alignment wrapText="1"/>
    </xf>
    <xf numFmtId="4" fontId="12" fillId="2" borderId="173" xfId="0" applyFont="1" applyFill="1" applyBorder="1" applyAlignment="1">
      <alignment wrapText="1"/>
    </xf>
    <xf numFmtId="4" fontId="0" fillId="2" borderId="174" xfId="0" applyFill="1" applyBorder="1" applyAlignment="1">
      <alignment wrapText="1"/>
    </xf>
    <xf numFmtId="4" fontId="10" fillId="0" borderId="0" xfId="0" applyFont="1" applyBorder="1" applyAlignment="1">
      <alignment wrapText="1"/>
    </xf>
    <xf numFmtId="4" fontId="13" fillId="2" borderId="1019" xfId="0" applyFont="1" applyFill="1" applyBorder="1" applyAlignment="1">
      <alignment horizontal="center" wrapText="1"/>
    </xf>
    <xf numFmtId="4" fontId="0" fillId="2" borderId="734" xfId="0" applyFill="1" applyBorder="1" applyAlignment="1">
      <alignment horizontal="center" wrapText="1"/>
    </xf>
    <xf numFmtId="4" fontId="0" fillId="2" borderId="1109" xfId="0" applyFill="1" applyBorder="1" applyAlignment="1">
      <alignment horizontal="center" wrapText="1"/>
    </xf>
    <xf numFmtId="4" fontId="0" fillId="2" borderId="1110" xfId="0" applyFill="1" applyBorder="1" applyAlignment="1">
      <alignment horizontal="center" wrapText="1"/>
    </xf>
    <xf numFmtId="4" fontId="12" fillId="0" borderId="137" xfId="0" applyFont="1" applyBorder="1" applyAlignment="1">
      <alignment wrapText="1"/>
    </xf>
    <xf numFmtId="4" fontId="0" fillId="0" borderId="138" xfId="0" applyBorder="1" applyAlignment="1">
      <alignment wrapText="1"/>
    </xf>
    <xf numFmtId="4" fontId="0" fillId="0" borderId="260" xfId="0" applyBorder="1" applyAlignment="1">
      <alignment wrapText="1"/>
    </xf>
    <xf numFmtId="4" fontId="12" fillId="2" borderId="139" xfId="0" applyFont="1" applyFill="1" applyBorder="1" applyAlignment="1">
      <alignment wrapText="1"/>
    </xf>
    <xf numFmtId="4" fontId="0" fillId="2" borderId="140" xfId="0" applyFill="1" applyBorder="1" applyAlignment="1">
      <alignment wrapText="1"/>
    </xf>
    <xf numFmtId="4" fontId="12" fillId="0" borderId="149" xfId="0" applyFont="1" applyBorder="1" applyAlignment="1">
      <alignment wrapText="1"/>
    </xf>
    <xf numFmtId="4" fontId="0" fillId="0" borderId="150" xfId="0" applyBorder="1" applyAlignment="1">
      <alignment wrapText="1"/>
    </xf>
    <xf numFmtId="4" fontId="0" fillId="0" borderId="264" xfId="0" applyBorder="1" applyAlignment="1">
      <alignment wrapText="1"/>
    </xf>
    <xf numFmtId="4" fontId="5" fillId="0" borderId="2" xfId="0" applyFont="1" applyBorder="1" applyAlignment="1">
      <alignment wrapText="1"/>
    </xf>
    <xf numFmtId="4" fontId="0" fillId="0" borderId="3" xfId="0" applyBorder="1" applyAlignment="1">
      <alignment wrapText="1"/>
    </xf>
    <xf numFmtId="4" fontId="9" fillId="0" borderId="0" xfId="0" applyFont="1" applyBorder="1" applyAlignment="1">
      <alignment wrapText="1"/>
    </xf>
    <xf numFmtId="4" fontId="8" fillId="0" borderId="6" xfId="0" applyFont="1" applyBorder="1" applyAlignment="1">
      <alignment wrapText="1"/>
    </xf>
    <xf numFmtId="4" fontId="14" fillId="0" borderId="6" xfId="0" applyFont="1" applyFill="1" applyBorder="1" applyAlignment="1">
      <alignment wrapText="1"/>
    </xf>
    <xf numFmtId="4" fontId="13" fillId="0" borderId="1003" xfId="0" applyFont="1" applyBorder="1" applyAlignment="1">
      <alignment horizontal="center" wrapText="1"/>
    </xf>
    <xf numFmtId="4" fontId="13" fillId="0" borderId="1023" xfId="0" applyFont="1" applyBorder="1" applyAlignment="1">
      <alignment horizontal="center" wrapText="1"/>
    </xf>
    <xf numFmtId="4" fontId="12" fillId="2" borderId="1106" xfId="0" applyFont="1" applyFill="1" applyBorder="1" applyAlignment="1">
      <alignment horizontal="center" wrapText="1"/>
    </xf>
    <xf numFmtId="4" fontId="14" fillId="0" borderId="1106" xfId="0" applyFont="1" applyBorder="1" applyAlignment="1">
      <alignment horizontal="center" wrapText="1"/>
    </xf>
    <xf numFmtId="4" fontId="14" fillId="0" borderId="1086" xfId="0" applyFont="1" applyBorder="1" applyAlignment="1">
      <alignment horizontal="center" wrapText="1"/>
    </xf>
    <xf numFmtId="4" fontId="12" fillId="0" borderId="709" xfId="0" applyFont="1" applyBorder="1" applyAlignment="1">
      <alignment wrapText="1"/>
    </xf>
    <xf numFmtId="4" fontId="0" fillId="0" borderId="588" xfId="0" applyBorder="1" applyAlignment="1">
      <alignment wrapText="1"/>
    </xf>
    <xf numFmtId="4" fontId="12" fillId="0" borderId="820" xfId="0" applyFont="1" applyBorder="1" applyAlignment="1">
      <alignment wrapText="1"/>
    </xf>
    <xf numFmtId="4" fontId="0" fillId="0" borderId="1038" xfId="0" applyBorder="1" applyAlignment="1">
      <alignment wrapText="1"/>
    </xf>
    <xf numFmtId="4" fontId="0" fillId="0" borderId="1039" xfId="0" applyBorder="1" applyAlignment="1">
      <alignment wrapText="1"/>
    </xf>
    <xf numFmtId="4" fontId="12" fillId="0" borderId="827" xfId="0" applyFont="1" applyBorder="1" applyAlignment="1">
      <alignment wrapText="1"/>
    </xf>
    <xf numFmtId="4" fontId="0" fillId="0" borderId="834" xfId="0" applyBorder="1" applyAlignment="1">
      <alignment wrapText="1"/>
    </xf>
    <xf numFmtId="4" fontId="13" fillId="2" borderId="1003" xfId="0" applyFont="1" applyFill="1" applyBorder="1" applyAlignment="1">
      <alignment horizontal="center"/>
    </xf>
    <xf numFmtId="4" fontId="0" fillId="2" borderId="1004" xfId="0" applyFill="1" applyBorder="1" applyAlignment="1">
      <alignment horizontal="center"/>
    </xf>
    <xf numFmtId="4" fontId="0" fillId="0" borderId="1004" xfId="0" applyBorder="1" applyAlignment="1">
      <alignment horizontal="center"/>
    </xf>
    <xf numFmtId="4" fontId="0" fillId="0" borderId="1023" xfId="0" applyBorder="1" applyAlignment="1">
      <alignment horizontal="center"/>
    </xf>
    <xf numFmtId="4" fontId="13" fillId="2" borderId="1003" xfId="0" applyFont="1" applyFill="1" applyBorder="1" applyAlignment="1">
      <alignment horizontal="center" wrapText="1"/>
    </xf>
    <xf numFmtId="4" fontId="13" fillId="0" borderId="0" xfId="0" applyFont="1" applyFill="1" applyBorder="1" applyAlignment="1">
      <alignment vertical="center"/>
    </xf>
    <xf numFmtId="4" fontId="5" fillId="0" borderId="741" xfId="0" applyFont="1" applyBorder="1" applyAlignment="1">
      <alignment wrapText="1"/>
    </xf>
    <xf numFmtId="4" fontId="12" fillId="0" borderId="741" xfId="0" applyFont="1" applyFill="1" applyBorder="1" applyAlignment="1">
      <alignment wrapText="1"/>
    </xf>
    <xf numFmtId="4" fontId="12" fillId="0" borderId="697" xfId="0" applyFont="1" applyBorder="1" applyAlignment="1">
      <alignment wrapText="1"/>
    </xf>
    <xf numFmtId="4" fontId="0" fillId="0" borderId="513" xfId="0" applyBorder="1" applyAlignment="1">
      <alignment wrapText="1"/>
    </xf>
    <xf numFmtId="4" fontId="12" fillId="0" borderId="891" xfId="0" applyFont="1" applyBorder="1" applyAlignment="1">
      <alignment wrapText="1"/>
    </xf>
    <xf numFmtId="4" fontId="0" fillId="0" borderId="892" xfId="0" applyBorder="1" applyAlignment="1">
      <alignment wrapText="1"/>
    </xf>
    <xf numFmtId="4" fontId="12" fillId="0" borderId="919" xfId="0" applyFont="1" applyBorder="1" applyAlignment="1">
      <alignment wrapText="1"/>
    </xf>
    <xf numFmtId="4" fontId="0" fillId="0" borderId="916" xfId="0" applyBorder="1" applyAlignment="1">
      <alignment wrapText="1"/>
    </xf>
    <xf numFmtId="4" fontId="12" fillId="0" borderId="960" xfId="0" applyFont="1" applyBorder="1" applyAlignment="1">
      <alignment wrapText="1"/>
    </xf>
    <xf numFmtId="4" fontId="0" fillId="0" borderId="763" xfId="0" applyBorder="1" applyAlignment="1">
      <alignment wrapText="1"/>
    </xf>
    <xf numFmtId="4" fontId="12" fillId="0" borderId="984" xfId="0" applyFont="1" applyBorder="1" applyAlignment="1">
      <alignment wrapText="1"/>
    </xf>
    <xf numFmtId="4" fontId="0" fillId="0" borderId="985" xfId="0" applyBorder="1" applyAlignment="1">
      <alignment wrapText="1"/>
    </xf>
    <xf numFmtId="4" fontId="54" fillId="16" borderId="1147" xfId="0" applyNumberFormat="1" applyFont="1" applyFill="1" applyBorder="1" applyAlignment="1">
      <alignment horizontal="center" vertical="top" wrapText="1"/>
    </xf>
    <xf numFmtId="4" fontId="54" fillId="16" borderId="1106" xfId="0" applyNumberFormat="1" applyFont="1" applyFill="1" applyBorder="1" applyAlignment="1">
      <alignment horizontal="center" vertical="top" wrapText="1"/>
    </xf>
    <xf numFmtId="4" fontId="56" fillId="16" borderId="1021" xfId="0" applyFont="1" applyFill="1" applyBorder="1" applyAlignment="1">
      <alignment vertical="center" wrapText="1"/>
    </xf>
    <xf numFmtId="4" fontId="56" fillId="16" borderId="1145" xfId="0" applyFont="1" applyFill="1" applyBorder="1" applyAlignment="1">
      <alignment vertical="center" wrapText="1"/>
    </xf>
    <xf numFmtId="4" fontId="56" fillId="16" borderId="1149" xfId="0" applyFont="1" applyFill="1" applyBorder="1" applyAlignment="1">
      <alignment horizontal="center" vertical="center"/>
    </xf>
    <xf numFmtId="12" fontId="56" fillId="16" borderId="1150" xfId="0" applyNumberFormat="1" applyFont="1" applyFill="1" applyBorder="1" applyAlignment="1">
      <alignment horizontal="center" vertical="center" wrapText="1"/>
    </xf>
    <xf numFmtId="12" fontId="56" fillId="16" borderId="1151" xfId="0" applyNumberFormat="1" applyFont="1" applyFill="1" applyBorder="1" applyAlignment="1">
      <alignment horizontal="center" vertical="center" wrapText="1"/>
    </xf>
    <xf numFmtId="12" fontId="56" fillId="16" borderId="1148" xfId="0" applyNumberFormat="1" applyFont="1" applyFill="1" applyBorder="1" applyAlignment="1">
      <alignment horizontal="center" vertical="center" wrapText="1"/>
    </xf>
    <xf numFmtId="4" fontId="12" fillId="2" borderId="3" xfId="0" applyFont="1" applyFill="1" applyBorder="1" applyAlignment="1">
      <alignment horizontal="center" wrapText="1"/>
    </xf>
    <xf numFmtId="4" fontId="14" fillId="0" borderId="646" xfId="0" applyFont="1" applyBorder="1" applyAlignment="1">
      <alignment horizontal="center" wrapText="1"/>
    </xf>
    <xf numFmtId="4" fontId="14" fillId="0" borderId="647" xfId="0" applyFont="1" applyBorder="1" applyAlignment="1">
      <alignment horizontal="center" wrapText="1"/>
    </xf>
    <xf numFmtId="4" fontId="12" fillId="0" borderId="376" xfId="0" applyFont="1" applyBorder="1" applyAlignment="1">
      <alignment wrapText="1"/>
    </xf>
    <xf numFmtId="4" fontId="0" fillId="0" borderId="377" xfId="0" applyBorder="1" applyAlignment="1">
      <alignment wrapText="1"/>
    </xf>
    <xf numFmtId="4" fontId="0" fillId="0" borderId="510" xfId="0" applyBorder="1" applyAlignment="1">
      <alignment wrapText="1"/>
    </xf>
    <xf numFmtId="4" fontId="12" fillId="0" borderId="385" xfId="0" applyFont="1" applyBorder="1" applyAlignment="1">
      <alignment wrapText="1"/>
    </xf>
    <xf numFmtId="4" fontId="0" fillId="0" borderId="383" xfId="0" applyBorder="1" applyAlignment="1">
      <alignment wrapText="1"/>
    </xf>
    <xf numFmtId="4" fontId="0" fillId="0" borderId="11" xfId="0" applyBorder="1" applyAlignment="1">
      <alignment wrapText="1"/>
    </xf>
    <xf numFmtId="4" fontId="13" fillId="0" borderId="710" xfId="0" applyFont="1" applyBorder="1" applyAlignment="1">
      <alignment horizontal="center" wrapText="1"/>
    </xf>
    <xf numFmtId="4" fontId="13" fillId="0" borderId="712" xfId="0" applyFont="1" applyBorder="1" applyAlignment="1">
      <alignment horizontal="center" wrapText="1"/>
    </xf>
    <xf numFmtId="4" fontId="13" fillId="2" borderId="710" xfId="0" applyFont="1" applyFill="1" applyBorder="1" applyAlignment="1">
      <alignment horizontal="center" wrapText="1"/>
    </xf>
    <xf numFmtId="4" fontId="0" fillId="0" borderId="712" xfId="0" applyBorder="1" applyAlignment="1">
      <alignment horizontal="center"/>
    </xf>
    <xf numFmtId="4" fontId="13" fillId="2" borderId="710" xfId="0" applyFont="1" applyFill="1" applyBorder="1" applyAlignment="1">
      <alignment horizontal="center"/>
    </xf>
    <xf numFmtId="4" fontId="0" fillId="2" borderId="711" xfId="0" applyFill="1" applyBorder="1" applyAlignment="1">
      <alignment horizontal="center"/>
    </xf>
    <xf numFmtId="4" fontId="0" fillId="0" borderId="711" xfId="0" applyBorder="1" applyAlignment="1">
      <alignment horizontal="center"/>
    </xf>
    <xf numFmtId="4" fontId="13" fillId="0" borderId="741" xfId="0" applyFont="1" applyBorder="1" applyAlignment="1">
      <alignment horizontal="center" wrapText="1"/>
    </xf>
    <xf numFmtId="4" fontId="0" fillId="0" borderId="3" xfId="0" applyBorder="1" applyAlignment="1">
      <alignment horizontal="center" wrapText="1"/>
    </xf>
    <xf numFmtId="4" fontId="0" fillId="0" borderId="4" xfId="0" applyBorder="1" applyAlignment="1">
      <alignment horizontal="center" wrapText="1"/>
    </xf>
    <xf numFmtId="4" fontId="0" fillId="0" borderId="8" xfId="0" applyBorder="1" applyAlignment="1">
      <alignment wrapText="1"/>
    </xf>
    <xf numFmtId="4" fontId="12" fillId="0" borderId="378" xfId="0" applyFont="1" applyBorder="1" applyAlignment="1">
      <alignment wrapText="1"/>
    </xf>
    <xf numFmtId="4" fontId="0" fillId="0" borderId="353" xfId="0" applyBorder="1" applyAlignment="1">
      <alignment wrapText="1"/>
    </xf>
    <xf numFmtId="4" fontId="0" fillId="0" borderId="495" xfId="0" applyBorder="1" applyAlignment="1">
      <alignment wrapText="1"/>
    </xf>
    <xf numFmtId="4" fontId="0" fillId="0" borderId="4" xfId="0" applyBorder="1" applyAlignment="1">
      <alignment wrapText="1"/>
    </xf>
    <xf numFmtId="4" fontId="0" fillId="0" borderId="8" xfId="0" applyBorder="1" applyAlignment="1">
      <alignment horizontal="left" wrapText="1"/>
    </xf>
    <xf numFmtId="4" fontId="12" fillId="0" borderId="71" xfId="0" applyFont="1" applyBorder="1" applyAlignment="1">
      <alignment wrapText="1"/>
    </xf>
    <xf numFmtId="4" fontId="0" fillId="0" borderId="72" xfId="0" applyBorder="1" applyAlignment="1">
      <alignment wrapText="1"/>
    </xf>
    <xf numFmtId="4" fontId="0" fillId="0" borderId="517" xfId="0" applyBorder="1" applyAlignment="1">
      <alignment wrapText="1"/>
    </xf>
    <xf numFmtId="4" fontId="12" fillId="0" borderId="61" xfId="0" applyFont="1" applyBorder="1" applyAlignment="1">
      <alignment wrapText="1"/>
    </xf>
    <xf numFmtId="4" fontId="0" fillId="0" borderId="62" xfId="0" applyBorder="1" applyAlignment="1">
      <alignment wrapText="1"/>
    </xf>
    <xf numFmtId="4" fontId="0" fillId="0" borderId="82" xfId="0" applyBorder="1" applyAlignment="1">
      <alignment wrapText="1"/>
    </xf>
    <xf numFmtId="4" fontId="12" fillId="0" borderId="64" xfId="0" applyFont="1" applyBorder="1" applyAlignment="1">
      <alignment wrapText="1"/>
    </xf>
    <xf numFmtId="4" fontId="0" fillId="0" borderId="65" xfId="0" applyBorder="1" applyAlignment="1">
      <alignment wrapText="1"/>
    </xf>
    <xf numFmtId="4" fontId="0" fillId="0" borderId="507" xfId="0" applyBorder="1" applyAlignment="1">
      <alignment wrapText="1"/>
    </xf>
    <xf numFmtId="4" fontId="0" fillId="0" borderId="382" xfId="0" applyBorder="1" applyAlignment="1">
      <alignment wrapText="1"/>
    </xf>
    <xf numFmtId="4" fontId="13" fillId="3" borderId="242" xfId="0" applyFont="1" applyFill="1" applyBorder="1" applyAlignment="1">
      <alignment wrapText="1"/>
    </xf>
    <xf numFmtId="4" fontId="15" fillId="0" borderId="242" xfId="0" applyFont="1" applyBorder="1" applyAlignment="1">
      <alignment wrapText="1"/>
    </xf>
    <xf numFmtId="4" fontId="15" fillId="0" borderId="259" xfId="0" applyFont="1" applyBorder="1" applyAlignment="1">
      <alignment wrapText="1"/>
    </xf>
    <xf numFmtId="4" fontId="6" fillId="3" borderId="370" xfId="0" applyFont="1" applyFill="1" applyBorder="1" applyAlignment="1">
      <alignment wrapText="1"/>
    </xf>
    <xf numFmtId="4" fontId="0" fillId="0" borderId="370" xfId="0" applyBorder="1" applyAlignment="1">
      <alignment wrapText="1"/>
    </xf>
    <xf numFmtId="0" fontId="20" fillId="5" borderId="360" xfId="3" applyFont="1" applyFill="1" applyBorder="1" applyAlignment="1">
      <alignment horizontal="center"/>
    </xf>
    <xf numFmtId="0" fontId="20" fillId="5" borderId="482" xfId="3" applyFont="1" applyFill="1" applyBorder="1" applyAlignment="1">
      <alignment horizontal="center"/>
    </xf>
    <xf numFmtId="0" fontId="42" fillId="0" borderId="0" xfId="4" applyNumberFormat="1" applyFont="1" applyBorder="1" applyAlignment="1">
      <alignment wrapText="1"/>
    </xf>
    <xf numFmtId="0" fontId="42" fillId="0" borderId="0" xfId="3" applyFont="1" applyBorder="1" applyAlignment="1"/>
    <xf numFmtId="0" fontId="42" fillId="0" borderId="0" xfId="4" applyFont="1" applyAlignment="1">
      <alignment wrapText="1"/>
    </xf>
    <xf numFmtId="4" fontId="57" fillId="13" borderId="0" xfId="0" applyFont="1" applyFill="1" applyBorder="1" applyAlignment="1">
      <alignment wrapText="1"/>
    </xf>
    <xf numFmtId="4" fontId="59" fillId="17" borderId="1157" xfId="0" applyFont="1" applyFill="1" applyBorder="1" applyAlignment="1">
      <alignment wrapText="1"/>
    </xf>
    <xf numFmtId="4" fontId="59" fillId="17" borderId="1158" xfId="0" applyFont="1" applyFill="1" applyBorder="1" applyAlignment="1">
      <alignment wrapText="1"/>
    </xf>
    <xf numFmtId="4" fontId="59" fillId="17" borderId="478" xfId="0" applyFont="1" applyFill="1" applyBorder="1" applyAlignment="1"/>
    <xf numFmtId="4" fontId="57" fillId="17" borderId="0" xfId="0" applyFont="1" applyFill="1" applyBorder="1" applyAlignment="1">
      <alignment wrapText="1"/>
    </xf>
    <xf numFmtId="4" fontId="59" fillId="17" borderId="1180" xfId="0" applyFont="1" applyFill="1" applyBorder="1" applyAlignment="1"/>
    <xf numFmtId="4" fontId="59" fillId="17" borderId="0" xfId="0" applyFont="1" applyFill="1" applyBorder="1" applyAlignment="1">
      <alignment wrapText="1"/>
    </xf>
    <xf numFmtId="4" fontId="59" fillId="17" borderId="1181" xfId="0" applyFont="1" applyFill="1" applyBorder="1" applyAlignment="1">
      <alignment wrapText="1"/>
    </xf>
    <xf numFmtId="4" fontId="59" fillId="17" borderId="1182" xfId="0" applyFont="1" applyFill="1" applyBorder="1" applyAlignment="1">
      <alignment wrapText="1"/>
    </xf>
    <xf numFmtId="4" fontId="59" fillId="17" borderId="1180" xfId="0" applyFont="1" applyFill="1" applyBorder="1" applyAlignment="1">
      <alignment horizontal="center" wrapText="1"/>
    </xf>
    <xf numFmtId="4" fontId="59" fillId="17" borderId="0" xfId="0" applyFont="1" applyFill="1" applyBorder="1" applyAlignment="1">
      <alignment horizontal="center" wrapText="1"/>
    </xf>
    <xf numFmtId="4" fontId="59" fillId="17" borderId="1197" xfId="0" applyFont="1" applyFill="1" applyBorder="1" applyAlignment="1">
      <alignment horizontal="center" wrapText="1"/>
    </xf>
    <xf numFmtId="4" fontId="59" fillId="17" borderId="1198" xfId="0" applyFont="1" applyFill="1" applyBorder="1" applyAlignment="1"/>
    <xf numFmtId="4" fontId="59" fillId="17" borderId="1199" xfId="0" applyFont="1" applyFill="1" applyBorder="1" applyAlignment="1">
      <alignment wrapText="1"/>
    </xf>
    <xf numFmtId="4" fontId="57" fillId="0" borderId="1200" xfId="0" applyFont="1" applyBorder="1"/>
    <xf numFmtId="4" fontId="59" fillId="17" borderId="1112" xfId="0" applyFont="1" applyFill="1" applyBorder="1" applyAlignment="1">
      <alignment wrapText="1"/>
    </xf>
    <xf numFmtId="4" fontId="59" fillId="17" borderId="1198" xfId="0" applyFont="1" applyFill="1" applyBorder="1" applyAlignment="1">
      <alignment horizontal="center" vertical="top" wrapText="1"/>
    </xf>
    <xf numFmtId="4" fontId="59" fillId="17" borderId="1199" xfId="0" applyFont="1" applyFill="1" applyBorder="1" applyAlignment="1">
      <alignment horizontal="center" vertical="top" wrapText="1"/>
    </xf>
    <xf numFmtId="4" fontId="59" fillId="17" borderId="1201" xfId="0" applyFont="1" applyFill="1" applyBorder="1" applyAlignment="1">
      <alignment horizontal="center" vertical="top" wrapText="1"/>
    </xf>
    <xf numFmtId="4" fontId="59" fillId="17" borderId="1192" xfId="0" applyFont="1" applyFill="1" applyBorder="1" applyAlignment="1">
      <alignment wrapText="1"/>
    </xf>
    <xf numFmtId="4" fontId="59" fillId="17" borderId="1193" xfId="0" applyFont="1" applyFill="1" applyBorder="1" applyAlignment="1">
      <alignment wrapText="1"/>
    </xf>
    <xf numFmtId="3" fontId="60" fillId="17" borderId="1169" xfId="0" applyNumberFormat="1" applyFont="1" applyFill="1" applyBorder="1"/>
    <xf numFmtId="3" fontId="60" fillId="17" borderId="1176" xfId="0" applyNumberFormat="1" applyFont="1" applyFill="1" applyBorder="1"/>
    <xf numFmtId="3" fontId="60" fillId="17" borderId="1168" xfId="0" applyNumberFormat="1" applyFont="1" applyFill="1" applyBorder="1"/>
    <xf numFmtId="4" fontId="60" fillId="17" borderId="1168" xfId="0" applyNumberFormat="1" applyFont="1" applyFill="1" applyBorder="1"/>
    <xf numFmtId="4" fontId="59" fillId="17" borderId="60" xfId="0" applyFont="1" applyFill="1" applyBorder="1" applyAlignment="1">
      <alignment wrapText="1"/>
    </xf>
    <xf numFmtId="4" fontId="59" fillId="17" borderId="389" xfId="0" applyFont="1" applyFill="1" applyBorder="1" applyAlignment="1">
      <alignment wrapText="1"/>
    </xf>
    <xf numFmtId="4" fontId="7" fillId="13" borderId="75" xfId="0" applyFont="1" applyFill="1" applyBorder="1" applyAlignment="1">
      <alignment horizontal="justify" vertical="center" wrapText="1"/>
    </xf>
  </cellXfs>
  <cellStyles count="17">
    <cellStyle name="Comma" xfId="1" builtinId="3"/>
    <cellStyle name="Comma 2" xfId="5"/>
    <cellStyle name="Comma 2 2" xfId="8"/>
    <cellStyle name="Comma 2 3" xfId="10"/>
    <cellStyle name="Comma 3" xfId="9"/>
    <cellStyle name="Comma 3 2" xfId="15"/>
    <cellStyle name="Normal" xfId="0" builtinId="0"/>
    <cellStyle name="Normal 2" xfId="3"/>
    <cellStyle name="Normal 2 2" xfId="6"/>
    <cellStyle name="Normal 2 2 2" xfId="16"/>
    <cellStyle name="Normal 3" xfId="2"/>
    <cellStyle name="Normal 4" xfId="7"/>
    <cellStyle name="Normal 4 2" xfId="12"/>
    <cellStyle name="Normal 5" xfId="11"/>
    <cellStyle name="Normal 6" xfId="14"/>
    <cellStyle name="Normal_revised (2)" xfId="4"/>
    <cellStyle name="Percent 2 2" xfId="13"/>
  </cellStyles>
  <dxfs count="16">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cid:image001.png@01D2B373.C3098E40" TargetMode="Externa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1.png"/><Relationship Id="rId5" Type="http://schemas.openxmlformats.org/officeDocument/2006/relationships/image" Target="cid:image001.png@01D2B373.C3098E40"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467591</xdr:colOff>
      <xdr:row>0</xdr:row>
      <xdr:rowOff>121227</xdr:rowOff>
    </xdr:from>
    <xdr:to>
      <xdr:col>1</xdr:col>
      <xdr:colOff>2441865</xdr:colOff>
      <xdr:row>1</xdr:row>
      <xdr:rowOff>2234045</xdr:rowOff>
    </xdr:to>
    <xdr:pic>
      <xdr:nvPicPr>
        <xdr:cNvPr id="2" name="Picture 23">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716" y="121227"/>
          <a:ext cx="1974274" cy="2274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103910</xdr:colOff>
      <xdr:row>1</xdr:row>
      <xdr:rowOff>103908</xdr:rowOff>
    </xdr:from>
    <xdr:to>
      <xdr:col>10</xdr:col>
      <xdr:colOff>2667000</xdr:colOff>
      <xdr:row>2</xdr:row>
      <xdr:rowOff>173181</xdr:rowOff>
    </xdr:to>
    <xdr:pic>
      <xdr:nvPicPr>
        <xdr:cNvPr id="3" name="Picture 1" descr="Description: Description: Description: cid:image002.png@01CC89CC.38BA02F0">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62835" y="265833"/>
          <a:ext cx="2563090" cy="241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2139029</xdr:colOff>
      <xdr:row>1</xdr:row>
      <xdr:rowOff>2138323</xdr:rowOff>
    </xdr:to>
    <xdr:pic>
      <xdr:nvPicPr>
        <xdr:cNvPr id="4" name="Picture 3" descr="http://seeklogo.com/images/S/Sida-logo-2302F1BFC8-seeklogo.com.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29125" y="161925"/>
          <a:ext cx="2139029" cy="2138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979715</xdr:colOff>
      <xdr:row>1</xdr:row>
      <xdr:rowOff>217714</xdr:rowOff>
    </xdr:from>
    <xdr:to>
      <xdr:col>6</xdr:col>
      <xdr:colOff>417838</xdr:colOff>
      <xdr:row>1</xdr:row>
      <xdr:rowOff>2188875</xdr:rowOff>
    </xdr:to>
    <xdr:pic>
      <xdr:nvPicPr>
        <xdr:cNvPr id="5" name="Pictur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8961665" y="379639"/>
          <a:ext cx="3163399" cy="1971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467591</xdr:colOff>
      <xdr:row>0</xdr:row>
      <xdr:rowOff>121227</xdr:rowOff>
    </xdr:from>
    <xdr:to>
      <xdr:col>1</xdr:col>
      <xdr:colOff>2441865</xdr:colOff>
      <xdr:row>1</xdr:row>
      <xdr:rowOff>2234045</xdr:rowOff>
    </xdr:to>
    <xdr:pic>
      <xdr:nvPicPr>
        <xdr:cNvPr id="2" name="Picture 23">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66" y="121227"/>
          <a:ext cx="1974274" cy="2274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103910</xdr:colOff>
      <xdr:row>1</xdr:row>
      <xdr:rowOff>103908</xdr:rowOff>
    </xdr:from>
    <xdr:to>
      <xdr:col>20</xdr:col>
      <xdr:colOff>2667000</xdr:colOff>
      <xdr:row>2</xdr:row>
      <xdr:rowOff>173181</xdr:rowOff>
    </xdr:to>
    <xdr:pic>
      <xdr:nvPicPr>
        <xdr:cNvPr id="3" name="Picture 1" descr="Description: Description: Description: cid:image002.png@01CC89CC.38BA02F0">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08835" y="265833"/>
          <a:ext cx="2563090" cy="241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81643</xdr:colOff>
      <xdr:row>0</xdr:row>
      <xdr:rowOff>122464</xdr:rowOff>
    </xdr:from>
    <xdr:to>
      <xdr:col>11</xdr:col>
      <xdr:colOff>459372</xdr:colOff>
      <xdr:row>1</xdr:row>
      <xdr:rowOff>2214252</xdr:rowOff>
    </xdr:to>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12668250" y="122464"/>
          <a:ext cx="3180801" cy="2268681"/>
        </a:xfrm>
        <a:prstGeom prst="rect">
          <a:avLst/>
        </a:prstGeom>
      </xdr:spPr>
    </xdr:pic>
    <xdr:clientData/>
  </xdr:twoCellAnchor>
  <xdr:twoCellAnchor>
    <xdr:from>
      <xdr:col>12</xdr:col>
      <xdr:colOff>1265463</xdr:colOff>
      <xdr:row>1</xdr:row>
      <xdr:rowOff>95250</xdr:rowOff>
    </xdr:from>
    <xdr:to>
      <xdr:col>14</xdr:col>
      <xdr:colOff>659327</xdr:colOff>
      <xdr:row>1</xdr:row>
      <xdr:rowOff>2258786</xdr:rowOff>
    </xdr:to>
    <xdr:pic>
      <xdr:nvPicPr>
        <xdr:cNvPr id="6" name="Picture 1" descr="Description: Description: Description: cid:image002.png@01CC89CC.38BA02F0">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24713" y="272143"/>
          <a:ext cx="2550721" cy="2163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3007178</xdr:colOff>
      <xdr:row>1</xdr:row>
      <xdr:rowOff>40821</xdr:rowOff>
    </xdr:from>
    <xdr:to>
      <xdr:col>4</xdr:col>
      <xdr:colOff>0</xdr:colOff>
      <xdr:row>1</xdr:row>
      <xdr:rowOff>2245179</xdr:rowOff>
    </xdr:to>
    <xdr:pic>
      <xdr:nvPicPr>
        <xdr:cNvPr id="8" name="Picture 7" descr="cid:image001.png@01D2B373.C3098E40">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7266214" y="217714"/>
          <a:ext cx="2163536" cy="2204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467591</xdr:colOff>
      <xdr:row>0</xdr:row>
      <xdr:rowOff>121227</xdr:rowOff>
    </xdr:from>
    <xdr:to>
      <xdr:col>1</xdr:col>
      <xdr:colOff>2441865</xdr:colOff>
      <xdr:row>1</xdr:row>
      <xdr:rowOff>2234045</xdr:rowOff>
    </xdr:to>
    <xdr:pic>
      <xdr:nvPicPr>
        <xdr:cNvPr id="2" name="Picture 23">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891" y="121227"/>
          <a:ext cx="1974274" cy="2284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8</xdr:col>
      <xdr:colOff>23944</xdr:colOff>
      <xdr:row>1</xdr:row>
      <xdr:rowOff>2268681</xdr:rowOff>
    </xdr:to>
    <xdr:pic>
      <xdr:nvPicPr>
        <xdr:cNvPr id="10" name="Picture 9">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15621000" y="155864"/>
          <a:ext cx="3193171" cy="2268681"/>
        </a:xfrm>
        <a:prstGeom prst="rect">
          <a:avLst/>
        </a:prstGeom>
      </xdr:spPr>
    </xdr:pic>
    <xdr:clientData/>
  </xdr:twoCellAnchor>
  <xdr:twoCellAnchor>
    <xdr:from>
      <xdr:col>10</xdr:col>
      <xdr:colOff>0</xdr:colOff>
      <xdr:row>1</xdr:row>
      <xdr:rowOff>0</xdr:rowOff>
    </xdr:from>
    <xdr:to>
      <xdr:col>11</xdr:col>
      <xdr:colOff>1108363</xdr:colOff>
      <xdr:row>2</xdr:row>
      <xdr:rowOff>75934</xdr:rowOff>
    </xdr:to>
    <xdr:pic>
      <xdr:nvPicPr>
        <xdr:cNvPr id="14" name="Picture 1" descr="Description: Description: Description: cid:image002.png@01CC89CC.38BA02F0">
          <a:extLst>
            <a:ext uri="{FF2B5EF4-FFF2-40B4-BE49-F238E27FC236}">
              <a16:creationId xmlns=""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327591" y="155864"/>
          <a:ext cx="2563090" cy="241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5034642</xdr:colOff>
      <xdr:row>1</xdr:row>
      <xdr:rowOff>54430</xdr:rowOff>
    </xdr:from>
    <xdr:to>
      <xdr:col>4</xdr:col>
      <xdr:colOff>1905000</xdr:colOff>
      <xdr:row>1</xdr:row>
      <xdr:rowOff>2299608</xdr:rowOff>
    </xdr:to>
    <xdr:pic>
      <xdr:nvPicPr>
        <xdr:cNvPr id="16" name="Picture 15" descr="cid:image001.png@01D2B373.C3098E40">
          <a:extLst>
            <a:ext uri="{FF2B5EF4-FFF2-40B4-BE49-F238E27FC236}">
              <a16:creationId xmlns=""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9293678" y="217716"/>
          <a:ext cx="2041072" cy="2245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J443"/>
  <sheetViews>
    <sheetView topLeftCell="A16" zoomScale="55" zoomScaleNormal="55" zoomScaleSheetLayoutView="52" workbookViewId="0">
      <selection activeCell="K41" sqref="K41"/>
    </sheetView>
  </sheetViews>
  <sheetFormatPr defaultRowHeight="12.75" x14ac:dyDescent="0.2"/>
  <cols>
    <col min="1" max="1" width="3.5703125" customWidth="1"/>
    <col min="2" max="2" width="50.140625" customWidth="1"/>
    <col min="3" max="3" width="24.42578125" customWidth="1"/>
    <col min="4" max="4" width="68" customWidth="1"/>
    <col min="5" max="5" width="25.140625" customWidth="1"/>
    <col min="6" max="6" width="31" customWidth="1"/>
    <col min="7" max="7" width="22.42578125" customWidth="1"/>
    <col min="8" max="8" width="22.7109375" customWidth="1"/>
    <col min="9" max="9" width="23.85546875" customWidth="1"/>
    <col min="10" max="10" width="23.5703125" customWidth="1"/>
    <col min="11" max="11" width="44.7109375" customWidth="1"/>
    <col min="12" max="12" width="15.5703125" customWidth="1"/>
    <col min="13" max="13" width="17.5703125" customWidth="1"/>
    <col min="14" max="14" width="17.7109375" customWidth="1"/>
    <col min="15" max="15" width="12.7109375" customWidth="1"/>
    <col min="16" max="16" width="14.140625" customWidth="1"/>
    <col min="17" max="17" width="19.85546875" customWidth="1"/>
    <col min="18" max="18" width="27.7109375" customWidth="1"/>
    <col min="19" max="19" width="23.5703125" customWidth="1"/>
  </cols>
  <sheetData>
    <row r="1" spans="1:11" x14ac:dyDescent="0.2">
      <c r="A1" s="1" t="s">
        <v>0</v>
      </c>
      <c r="B1" s="2"/>
      <c r="C1" s="3"/>
      <c r="D1" s="3"/>
      <c r="E1" s="3"/>
      <c r="F1" s="3"/>
      <c r="G1" s="3"/>
      <c r="H1" s="3"/>
      <c r="I1" s="3"/>
      <c r="J1" s="3"/>
      <c r="K1" s="3"/>
    </row>
    <row r="2" spans="1:11" ht="184.5" customHeight="1" thickBot="1" x14ac:dyDescent="0.25">
      <c r="A2" s="233"/>
      <c r="B2" s="7"/>
      <c r="C2" s="5"/>
      <c r="D2" s="5"/>
      <c r="E2" s="5"/>
      <c r="F2" s="5"/>
      <c r="G2" s="5"/>
      <c r="H2" s="5"/>
      <c r="I2" s="5"/>
      <c r="J2" s="5"/>
    </row>
    <row r="3" spans="1:11" ht="48" customHeight="1" x14ac:dyDescent="0.55000000000000004">
      <c r="A3" s="234"/>
      <c r="B3" s="2679" t="s">
        <v>848</v>
      </c>
      <c r="C3" s="2680"/>
      <c r="D3" s="2680"/>
      <c r="E3" s="2680"/>
      <c r="F3" s="2680"/>
      <c r="G3" s="2680"/>
      <c r="H3" s="2680"/>
      <c r="I3" s="2680"/>
      <c r="J3" s="2680"/>
      <c r="K3" s="2680"/>
    </row>
    <row r="4" spans="1:11" ht="52.5" customHeight="1" x14ac:dyDescent="0.35">
      <c r="A4" s="235"/>
      <c r="B4" s="13" t="s">
        <v>1</v>
      </c>
      <c r="C4" s="2681" t="s">
        <v>849</v>
      </c>
      <c r="D4" s="2641"/>
      <c r="E4" s="2641"/>
      <c r="F4" s="2641"/>
      <c r="G4" s="2641"/>
      <c r="H4" s="2641"/>
      <c r="I4" s="2641"/>
      <c r="J4" s="2641"/>
      <c r="K4" s="2641"/>
    </row>
    <row r="5" spans="1:11" ht="22.5" customHeight="1" x14ac:dyDescent="0.3">
      <c r="A5" s="235"/>
      <c r="B5" s="2682"/>
      <c r="C5" s="2641"/>
      <c r="D5" s="2641"/>
      <c r="E5" s="2641"/>
      <c r="F5" s="2641"/>
      <c r="G5" s="2641"/>
      <c r="H5" s="2641"/>
      <c r="I5" s="2641"/>
      <c r="J5" s="2641"/>
      <c r="K5" s="2641"/>
    </row>
    <row r="6" spans="1:11" ht="35.25" customHeight="1" x14ac:dyDescent="0.35">
      <c r="A6" s="235"/>
      <c r="B6" s="14" t="s">
        <v>2</v>
      </c>
      <c r="C6" s="2641"/>
      <c r="D6" s="2641"/>
      <c r="E6" s="2641"/>
      <c r="F6" s="2641"/>
      <c r="G6" s="2641"/>
      <c r="H6" s="2641"/>
      <c r="I6" s="2641"/>
      <c r="J6" s="2641"/>
      <c r="K6" s="2641"/>
    </row>
    <row r="7" spans="1:11" ht="29.25" customHeight="1" x14ac:dyDescent="0.3">
      <c r="A7" s="235"/>
      <c r="B7" s="15">
        <v>1</v>
      </c>
      <c r="C7" s="2666" t="s">
        <v>3</v>
      </c>
      <c r="D7" s="2641"/>
      <c r="E7" s="2641"/>
      <c r="F7" s="2641"/>
      <c r="G7" s="2641"/>
      <c r="H7" s="2641"/>
      <c r="I7" s="2641"/>
      <c r="J7" s="2641"/>
      <c r="K7" s="2641"/>
    </row>
    <row r="8" spans="1:11" ht="24" customHeight="1" x14ac:dyDescent="0.3">
      <c r="A8" s="235"/>
      <c r="B8" s="16">
        <v>2</v>
      </c>
      <c r="C8" s="2666" t="s">
        <v>4</v>
      </c>
      <c r="D8" s="2641"/>
      <c r="E8" s="2641"/>
      <c r="F8" s="2641"/>
      <c r="G8" s="2641"/>
      <c r="H8" s="2641"/>
      <c r="I8" s="2641"/>
      <c r="J8" s="2641"/>
      <c r="K8" s="2641"/>
    </row>
    <row r="9" spans="1:11" ht="26.25" customHeight="1" x14ac:dyDescent="0.3">
      <c r="A9" s="235"/>
      <c r="B9" s="16">
        <v>3</v>
      </c>
      <c r="C9" s="2666" t="s">
        <v>5</v>
      </c>
      <c r="D9" s="2641"/>
      <c r="E9" s="2641"/>
      <c r="F9" s="2641"/>
      <c r="G9" s="2641"/>
      <c r="H9" s="2641"/>
      <c r="I9" s="2641"/>
      <c r="J9" s="2641"/>
      <c r="K9" s="2641"/>
    </row>
    <row r="10" spans="1:11" ht="24" customHeight="1" x14ac:dyDescent="0.3">
      <c r="A10" s="235"/>
      <c r="B10" s="16">
        <v>4</v>
      </c>
      <c r="C10" s="2666" t="s">
        <v>6</v>
      </c>
      <c r="D10" s="2641"/>
      <c r="E10" s="2641"/>
      <c r="F10" s="2641"/>
      <c r="G10" s="2641"/>
      <c r="H10" s="2641"/>
      <c r="I10" s="2641"/>
      <c r="J10" s="2641"/>
      <c r="K10" s="2641"/>
    </row>
    <row r="11" spans="1:11" ht="24.75" customHeight="1" x14ac:dyDescent="0.3">
      <c r="A11" s="235"/>
      <c r="B11" s="13"/>
      <c r="C11" s="9"/>
      <c r="D11" s="9"/>
      <c r="E11" s="9"/>
      <c r="F11" s="9"/>
      <c r="G11" s="9"/>
      <c r="H11" s="9"/>
      <c r="I11" s="9"/>
      <c r="J11" s="9"/>
      <c r="K11" s="9"/>
    </row>
    <row r="12" spans="1:11" ht="39" customHeight="1" x14ac:dyDescent="0.35">
      <c r="A12" s="235"/>
      <c r="B12" s="14" t="s">
        <v>7</v>
      </c>
      <c r="C12" s="2641"/>
      <c r="D12" s="2641"/>
      <c r="E12" s="2641"/>
      <c r="F12" s="2641"/>
      <c r="G12" s="2641"/>
      <c r="H12" s="2641"/>
      <c r="I12" s="2641"/>
      <c r="J12" s="2641"/>
      <c r="K12" s="2641"/>
    </row>
    <row r="13" spans="1:11" ht="29.25" customHeight="1" x14ac:dyDescent="0.3">
      <c r="A13" s="235"/>
      <c r="B13" s="15">
        <v>1</v>
      </c>
      <c r="C13" s="2666" t="s">
        <v>3</v>
      </c>
      <c r="D13" s="2641"/>
      <c r="E13" s="2641"/>
      <c r="F13" s="2641"/>
      <c r="G13" s="2641"/>
      <c r="H13" s="2641"/>
      <c r="I13" s="2641"/>
      <c r="J13" s="2641"/>
      <c r="K13" s="2641"/>
    </row>
    <row r="14" spans="1:11" ht="27.75" customHeight="1" x14ac:dyDescent="0.3">
      <c r="A14" s="235"/>
      <c r="B14" s="16">
        <v>2</v>
      </c>
      <c r="C14" s="2666" t="s">
        <v>4</v>
      </c>
      <c r="D14" s="2641"/>
      <c r="E14" s="2641"/>
      <c r="F14" s="2641"/>
      <c r="G14" s="2641"/>
      <c r="H14" s="2641"/>
      <c r="I14" s="2641"/>
      <c r="J14" s="2641"/>
      <c r="K14" s="2641"/>
    </row>
    <row r="15" spans="1:11" ht="31.5" customHeight="1" x14ac:dyDescent="0.3">
      <c r="A15" s="235"/>
      <c r="B15" s="16">
        <v>3</v>
      </c>
      <c r="C15" s="2666" t="s">
        <v>5</v>
      </c>
      <c r="D15" s="2641"/>
      <c r="E15" s="2641"/>
      <c r="F15" s="2641"/>
      <c r="G15" s="2641"/>
      <c r="H15" s="2641"/>
      <c r="I15" s="2641"/>
      <c r="J15" s="2641"/>
      <c r="K15" s="2641"/>
    </row>
    <row r="16" spans="1:11" ht="24" customHeight="1" x14ac:dyDescent="0.3">
      <c r="A16" s="235"/>
      <c r="B16" s="16">
        <v>4</v>
      </c>
      <c r="C16" s="2666" t="s">
        <v>6</v>
      </c>
      <c r="D16" s="2641"/>
      <c r="E16" s="2641"/>
      <c r="F16" s="2641"/>
      <c r="G16" s="2641"/>
      <c r="H16" s="2641"/>
      <c r="I16" s="2641"/>
      <c r="J16" s="2641"/>
      <c r="K16" s="2641"/>
    </row>
    <row r="17" spans="1:11" ht="30.75" customHeight="1" x14ac:dyDescent="0.35">
      <c r="A17" s="235"/>
      <c r="B17" s="14"/>
      <c r="C17" s="201"/>
      <c r="D17" s="201"/>
      <c r="E17" s="201"/>
      <c r="F17" s="201"/>
      <c r="G17" s="201"/>
      <c r="H17" s="429"/>
      <c r="I17" s="201"/>
      <c r="J17" s="201"/>
      <c r="K17" s="201"/>
    </row>
    <row r="18" spans="1:11" ht="33.75" customHeight="1" x14ac:dyDescent="0.3">
      <c r="A18" s="233"/>
      <c r="B18" s="13" t="s">
        <v>8</v>
      </c>
      <c r="C18" s="2650"/>
      <c r="D18" s="2650"/>
      <c r="E18" s="2650"/>
      <c r="F18" s="2650"/>
      <c r="G18" s="2650"/>
      <c r="H18" s="2650"/>
      <c r="I18" s="2650"/>
      <c r="J18" s="2650"/>
      <c r="K18" s="2650"/>
    </row>
    <row r="19" spans="1:11" ht="35.25" customHeight="1" x14ac:dyDescent="0.3">
      <c r="A19" s="233"/>
      <c r="B19" s="15">
        <v>1</v>
      </c>
      <c r="C19" s="2666" t="s">
        <v>9</v>
      </c>
      <c r="D19" s="2641"/>
      <c r="E19" s="2641"/>
      <c r="F19" s="2641"/>
      <c r="G19" s="2641"/>
      <c r="H19" s="2641"/>
      <c r="I19" s="2641"/>
      <c r="J19" s="2641"/>
      <c r="K19" s="2641"/>
    </row>
    <row r="20" spans="1:11" ht="33.75" customHeight="1" x14ac:dyDescent="0.3">
      <c r="A20" s="233"/>
      <c r="B20" s="16">
        <v>2</v>
      </c>
      <c r="C20" s="2666" t="s">
        <v>10</v>
      </c>
      <c r="D20" s="2641"/>
      <c r="E20" s="2641"/>
      <c r="F20" s="2641"/>
      <c r="G20" s="2641"/>
      <c r="H20" s="2641"/>
      <c r="I20" s="2641"/>
      <c r="J20" s="2641"/>
      <c r="K20" s="2641"/>
    </row>
    <row r="21" spans="1:11" ht="30" customHeight="1" x14ac:dyDescent="0.3">
      <c r="A21" s="233"/>
      <c r="B21" s="16">
        <v>3</v>
      </c>
      <c r="C21" s="2666" t="s">
        <v>11</v>
      </c>
      <c r="D21" s="2641"/>
      <c r="E21" s="2641"/>
      <c r="F21" s="2641"/>
      <c r="G21" s="2641"/>
      <c r="H21" s="2641"/>
      <c r="I21" s="2641"/>
      <c r="J21" s="2641"/>
      <c r="K21" s="2641"/>
    </row>
    <row r="22" spans="1:11" ht="35.25" customHeight="1" x14ac:dyDescent="0.3">
      <c r="A22" s="233"/>
      <c r="B22" s="16">
        <v>4</v>
      </c>
      <c r="C22" s="2666" t="s">
        <v>12</v>
      </c>
      <c r="D22" s="2641"/>
      <c r="E22" s="2641"/>
      <c r="F22" s="2641"/>
      <c r="G22" s="2641"/>
      <c r="H22" s="2641"/>
      <c r="I22" s="2641"/>
      <c r="J22" s="2641"/>
      <c r="K22" s="2641"/>
    </row>
    <row r="23" spans="1:11" ht="30" customHeight="1" x14ac:dyDescent="0.3">
      <c r="A23" s="233"/>
      <c r="B23" s="16"/>
      <c r="C23" s="20"/>
      <c r="D23" s="20"/>
      <c r="E23" s="20"/>
      <c r="F23" s="20"/>
      <c r="G23" s="20"/>
      <c r="H23" s="20"/>
      <c r="I23" s="20"/>
      <c r="J23" s="20"/>
      <c r="K23" s="20"/>
    </row>
    <row r="24" spans="1:11" ht="38.25" customHeight="1" x14ac:dyDescent="0.3">
      <c r="A24" s="236"/>
      <c r="B24" s="23" t="s">
        <v>13</v>
      </c>
      <c r="C24" s="2666" t="s">
        <v>14</v>
      </c>
      <c r="D24" s="2641"/>
      <c r="E24" s="2641"/>
      <c r="F24" s="2641"/>
      <c r="G24" s="2641"/>
      <c r="H24" s="2641"/>
      <c r="I24" s="2641"/>
      <c r="J24" s="2641"/>
      <c r="K24" s="2641"/>
    </row>
    <row r="25" spans="1:11" ht="23.25" customHeight="1" x14ac:dyDescent="0.3">
      <c r="A25" s="236"/>
      <c r="B25" s="23"/>
      <c r="C25" s="24"/>
      <c r="D25" s="25"/>
      <c r="E25" s="26"/>
      <c r="F25" s="26"/>
      <c r="G25" s="26"/>
      <c r="H25" s="26"/>
      <c r="I25" s="26"/>
      <c r="J25" s="26"/>
      <c r="K25" s="26"/>
    </row>
    <row r="26" spans="1:11" ht="42" customHeight="1" x14ac:dyDescent="0.3">
      <c r="A26" s="236"/>
      <c r="B26" s="23" t="s">
        <v>15</v>
      </c>
      <c r="C26" s="2666" t="s">
        <v>16</v>
      </c>
      <c r="D26" s="2641"/>
      <c r="E26" s="2641"/>
      <c r="F26" s="2641"/>
      <c r="G26" s="2641"/>
      <c r="H26" s="2641"/>
      <c r="I26" s="2641"/>
      <c r="J26" s="2641"/>
      <c r="K26" s="2641"/>
    </row>
    <row r="27" spans="1:11" ht="23.25" customHeight="1" thickBot="1" x14ac:dyDescent="0.35">
      <c r="A27" s="236"/>
      <c r="B27" s="237"/>
      <c r="C27" s="238"/>
      <c r="D27" s="239"/>
      <c r="E27" s="240"/>
      <c r="F27" s="240"/>
      <c r="G27" s="240"/>
      <c r="H27" s="240"/>
      <c r="I27" s="240"/>
      <c r="J27" s="240"/>
      <c r="K27" s="240"/>
    </row>
    <row r="28" spans="1:11" ht="23.25" customHeight="1" x14ac:dyDescent="0.3">
      <c r="A28" s="236"/>
      <c r="B28" s="23" t="s">
        <v>17</v>
      </c>
      <c r="C28" s="24"/>
      <c r="D28" s="25"/>
      <c r="E28" s="26"/>
      <c r="F28" s="26"/>
      <c r="G28" s="26"/>
      <c r="H28" s="26"/>
      <c r="I28" s="26"/>
      <c r="J28" s="26"/>
      <c r="K28" s="26"/>
    </row>
    <row r="29" spans="1:11" ht="136.5" customHeight="1" x14ac:dyDescent="0.3">
      <c r="A29" s="236"/>
      <c r="B29" s="2683" t="s">
        <v>18</v>
      </c>
      <c r="C29" s="2641"/>
      <c r="D29" s="2641"/>
      <c r="E29" s="2641"/>
      <c r="F29" s="2641"/>
      <c r="G29" s="2641"/>
      <c r="H29" s="2641"/>
      <c r="I29" s="2641"/>
      <c r="J29" s="2641"/>
      <c r="K29" s="2641"/>
    </row>
    <row r="30" spans="1:11" ht="23.25" customHeight="1" x14ac:dyDescent="0.3">
      <c r="A30" s="236"/>
      <c r="B30" s="23"/>
      <c r="C30" s="24"/>
      <c r="D30" s="25"/>
      <c r="E30" s="26"/>
      <c r="F30" s="26"/>
      <c r="G30" s="26"/>
      <c r="H30" s="26"/>
      <c r="I30" s="26"/>
      <c r="J30" s="26"/>
      <c r="K30" s="26"/>
    </row>
    <row r="31" spans="1:11" ht="23.25" customHeight="1" thickBot="1" x14ac:dyDescent="0.35">
      <c r="A31" s="241"/>
      <c r="B31" s="53"/>
      <c r="C31" s="242"/>
      <c r="D31" s="25"/>
      <c r="E31" s="26"/>
      <c r="F31" s="26"/>
      <c r="G31" s="26"/>
      <c r="H31" s="26"/>
      <c r="I31" s="26"/>
      <c r="J31" s="26"/>
      <c r="K31" s="26"/>
    </row>
    <row r="32" spans="1:11" ht="23.25" customHeight="1" x14ac:dyDescent="0.3">
      <c r="A32" s="236"/>
      <c r="B32" s="33" t="s">
        <v>850</v>
      </c>
      <c r="C32" s="34"/>
      <c r="D32" s="35"/>
      <c r="E32" s="26"/>
      <c r="F32" s="36" t="s">
        <v>19</v>
      </c>
      <c r="G32" s="37"/>
      <c r="H32" s="37"/>
      <c r="I32" s="37" t="s">
        <v>847</v>
      </c>
      <c r="J32" s="37"/>
      <c r="K32" s="979">
        <f>I292</f>
        <v>5246520.0099999988</v>
      </c>
    </row>
    <row r="33" spans="1:11" ht="23.25" customHeight="1" x14ac:dyDescent="0.3">
      <c r="A33" s="236"/>
      <c r="B33" s="38" t="s">
        <v>20</v>
      </c>
      <c r="C33" s="39"/>
      <c r="D33" s="40"/>
      <c r="E33" s="26"/>
      <c r="F33" s="41" t="s">
        <v>21</v>
      </c>
      <c r="G33" s="42"/>
      <c r="H33" s="42"/>
      <c r="I33" s="42" t="s">
        <v>847</v>
      </c>
      <c r="J33" s="243"/>
      <c r="K33" s="976">
        <f>I289</f>
        <v>5246520.0099999988</v>
      </c>
    </row>
    <row r="34" spans="1:11" ht="23.25" customHeight="1" x14ac:dyDescent="0.3">
      <c r="A34" s="236"/>
      <c r="B34" s="38" t="s">
        <v>22</v>
      </c>
      <c r="C34" s="244"/>
      <c r="D34" s="245"/>
      <c r="E34" s="26"/>
      <c r="F34" s="41" t="s">
        <v>23</v>
      </c>
      <c r="G34" s="42" t="s">
        <v>296</v>
      </c>
      <c r="H34" s="42"/>
      <c r="I34" s="42"/>
      <c r="J34" s="42"/>
      <c r="K34" s="976">
        <f>H307</f>
        <v>1500000</v>
      </c>
    </row>
    <row r="35" spans="1:11" ht="23.25" customHeight="1" x14ac:dyDescent="0.3">
      <c r="A35" s="236"/>
      <c r="B35" s="38" t="s">
        <v>24</v>
      </c>
      <c r="C35" s="246" t="s">
        <v>852</v>
      </c>
      <c r="D35" s="245"/>
      <c r="E35" s="26"/>
      <c r="F35" s="41" t="s">
        <v>25</v>
      </c>
      <c r="G35" s="42"/>
      <c r="H35" s="42"/>
      <c r="I35" s="42"/>
      <c r="J35" s="42"/>
      <c r="K35" s="976"/>
    </row>
    <row r="36" spans="1:11" ht="23.25" customHeight="1" x14ac:dyDescent="0.3">
      <c r="A36" s="236"/>
      <c r="B36" s="38" t="s">
        <v>26</v>
      </c>
      <c r="C36" s="246" t="s">
        <v>851</v>
      </c>
      <c r="D36" s="245"/>
      <c r="E36" s="26"/>
      <c r="F36" s="41" t="s">
        <v>27</v>
      </c>
      <c r="G36" s="42" t="s">
        <v>28</v>
      </c>
      <c r="H36" s="42"/>
      <c r="I36" s="42"/>
      <c r="J36" s="42"/>
      <c r="K36" s="976">
        <f>G307</f>
        <v>2002713.21</v>
      </c>
    </row>
    <row r="37" spans="1:11" ht="23.25" customHeight="1" x14ac:dyDescent="0.3">
      <c r="A37" s="236"/>
      <c r="B37" s="38" t="s">
        <v>29</v>
      </c>
      <c r="C37" s="244"/>
      <c r="D37" s="245"/>
      <c r="E37" s="26"/>
      <c r="F37" s="41" t="s">
        <v>27</v>
      </c>
      <c r="G37" s="42" t="s">
        <v>30</v>
      </c>
      <c r="H37" s="42"/>
      <c r="I37" s="42"/>
      <c r="J37" s="42"/>
      <c r="K37" s="976">
        <f>F307</f>
        <v>1743807.8</v>
      </c>
    </row>
    <row r="38" spans="1:11" ht="23.25" customHeight="1" x14ac:dyDescent="0.3">
      <c r="A38" s="236"/>
      <c r="B38" s="38" t="s">
        <v>31</v>
      </c>
      <c r="C38" s="244"/>
      <c r="D38" s="245"/>
      <c r="E38" s="26"/>
      <c r="F38" s="41" t="s">
        <v>27</v>
      </c>
      <c r="G38" s="247" t="s">
        <v>32</v>
      </c>
      <c r="H38" s="247"/>
      <c r="I38" s="42"/>
      <c r="J38" s="42"/>
      <c r="K38" s="977">
        <f>J307</f>
        <v>0</v>
      </c>
    </row>
    <row r="39" spans="1:11" ht="23.25" customHeight="1" x14ac:dyDescent="0.3">
      <c r="A39" s="236"/>
      <c r="B39" s="23"/>
      <c r="C39" s="244"/>
      <c r="D39" s="245"/>
      <c r="E39" s="26"/>
      <c r="F39" s="41"/>
      <c r="G39" s="42" t="s">
        <v>571</v>
      </c>
      <c r="H39" s="42"/>
      <c r="I39" s="42"/>
      <c r="J39" s="42"/>
      <c r="K39" s="978">
        <f>SUM(K34:K38)</f>
        <v>5246521.01</v>
      </c>
    </row>
    <row r="40" spans="1:11" ht="23.25" customHeight="1" x14ac:dyDescent="0.3">
      <c r="A40" s="236"/>
      <c r="B40" s="23"/>
      <c r="C40" s="244"/>
      <c r="D40" s="245"/>
      <c r="E40" s="26"/>
      <c r="F40" s="41" t="s">
        <v>34</v>
      </c>
      <c r="G40" s="42"/>
      <c r="H40" s="42"/>
      <c r="I40" s="42"/>
      <c r="J40" s="42"/>
      <c r="K40" s="440"/>
    </row>
    <row r="41" spans="1:11" ht="23.25" customHeight="1" thickBot="1" x14ac:dyDescent="0.35">
      <c r="A41" s="236"/>
      <c r="B41" s="237"/>
      <c r="C41" s="248"/>
      <c r="D41" s="249"/>
      <c r="E41" s="26"/>
      <c r="F41" s="250" t="s">
        <v>35</v>
      </c>
      <c r="G41" s="251"/>
      <c r="H41" s="430"/>
      <c r="I41" s="251"/>
      <c r="J41" s="251"/>
      <c r="K41" s="439"/>
    </row>
    <row r="42" spans="1:11" ht="23.25" customHeight="1" x14ac:dyDescent="0.3">
      <c r="A42" s="236"/>
      <c r="B42" s="23"/>
      <c r="C42" s="24"/>
      <c r="D42" s="25"/>
      <c r="E42" s="26"/>
      <c r="F42" s="42"/>
      <c r="G42" s="42"/>
      <c r="H42" s="42"/>
      <c r="I42" s="42"/>
      <c r="J42" s="42"/>
      <c r="K42" s="42"/>
    </row>
    <row r="43" spans="1:11" ht="23.25" customHeight="1" x14ac:dyDescent="0.3">
      <c r="A43" s="236"/>
      <c r="B43" s="23"/>
      <c r="C43" s="24"/>
      <c r="D43" s="25"/>
      <c r="E43" s="26"/>
      <c r="F43" s="26"/>
      <c r="G43" s="26"/>
      <c r="H43" s="26"/>
      <c r="I43" s="26"/>
      <c r="J43" s="26"/>
      <c r="K43" s="252"/>
    </row>
    <row r="44" spans="1:11" ht="63" customHeight="1" thickBot="1" x14ac:dyDescent="0.35">
      <c r="A44" s="236"/>
      <c r="B44" s="23" t="s">
        <v>36</v>
      </c>
      <c r="C44" s="253"/>
      <c r="D44" s="254"/>
      <c r="E44" s="26"/>
      <c r="F44" s="26"/>
      <c r="G44" s="26"/>
      <c r="H44" s="26"/>
      <c r="I44" s="26"/>
      <c r="J44" s="26"/>
      <c r="K44" s="26"/>
    </row>
    <row r="45" spans="1:11" ht="45" customHeight="1" x14ac:dyDescent="0.3">
      <c r="A45" s="236"/>
      <c r="B45" s="23"/>
      <c r="C45" s="51"/>
      <c r="D45" s="52"/>
      <c r="E45" s="26"/>
      <c r="F45" s="26"/>
      <c r="G45" s="26"/>
      <c r="H45" s="26"/>
      <c r="I45" s="26"/>
      <c r="J45" s="26"/>
      <c r="K45" s="26"/>
    </row>
    <row r="46" spans="1:11" ht="23.25" customHeight="1" x14ac:dyDescent="0.3">
      <c r="A46" s="236"/>
      <c r="B46" s="23"/>
      <c r="C46" s="53" t="s">
        <v>37</v>
      </c>
      <c r="D46" s="54"/>
      <c r="E46" s="26"/>
      <c r="F46" s="26"/>
      <c r="G46" s="26"/>
      <c r="H46" s="26"/>
      <c r="I46" s="26"/>
      <c r="J46" s="26"/>
      <c r="K46" s="26"/>
    </row>
    <row r="47" spans="1:11" ht="23.25" customHeight="1" x14ac:dyDescent="0.3">
      <c r="A47" s="236"/>
      <c r="B47" s="23"/>
      <c r="C47" s="53"/>
      <c r="D47" s="54"/>
      <c r="E47" s="26"/>
      <c r="F47" s="26"/>
      <c r="G47" s="26"/>
      <c r="H47" s="26"/>
      <c r="I47" s="26"/>
      <c r="J47" s="26"/>
      <c r="K47" s="26"/>
    </row>
    <row r="48" spans="1:11" ht="23.25" customHeight="1" x14ac:dyDescent="0.3">
      <c r="A48" s="236"/>
      <c r="B48" s="23"/>
      <c r="C48" s="53"/>
      <c r="D48" s="54"/>
      <c r="E48" s="26"/>
      <c r="F48" s="26"/>
      <c r="G48" s="26"/>
      <c r="H48" s="26"/>
      <c r="I48" s="26"/>
      <c r="J48" s="26"/>
      <c r="K48" s="26"/>
    </row>
    <row r="49" spans="1:18" ht="46.5" customHeight="1" thickBot="1" x14ac:dyDescent="0.35">
      <c r="A49" s="236"/>
      <c r="B49" s="23" t="s">
        <v>38</v>
      </c>
      <c r="C49" s="253"/>
      <c r="D49" s="254"/>
      <c r="E49" s="26"/>
      <c r="F49" s="26"/>
      <c r="G49" s="26"/>
      <c r="H49" s="26"/>
      <c r="I49" s="26"/>
      <c r="J49" s="26"/>
      <c r="K49" s="26"/>
    </row>
    <row r="50" spans="1:18" ht="46.5" customHeight="1" x14ac:dyDescent="0.3">
      <c r="A50" s="236"/>
      <c r="B50" s="23"/>
      <c r="C50" s="51"/>
      <c r="D50" s="52"/>
      <c r="E50" s="26"/>
      <c r="F50" s="26"/>
      <c r="G50" s="26"/>
      <c r="H50" s="26"/>
      <c r="I50" s="26"/>
      <c r="J50" s="26"/>
      <c r="K50" s="26"/>
    </row>
    <row r="51" spans="1:18" ht="23.25" customHeight="1" x14ac:dyDescent="0.3">
      <c r="A51" s="236"/>
      <c r="B51" s="23"/>
      <c r="C51" s="53" t="s">
        <v>39</v>
      </c>
      <c r="D51" s="54"/>
      <c r="E51" s="26"/>
      <c r="F51" s="26"/>
      <c r="G51" s="26"/>
      <c r="H51" s="26"/>
      <c r="I51" s="26"/>
      <c r="J51" s="26"/>
      <c r="K51" s="26"/>
    </row>
    <row r="52" spans="1:18" ht="23.25" customHeight="1" x14ac:dyDescent="0.3">
      <c r="A52" s="236"/>
      <c r="B52" s="23"/>
      <c r="C52" s="24"/>
      <c r="D52" s="25"/>
      <c r="E52" s="26"/>
      <c r="F52" s="26"/>
      <c r="G52" s="26"/>
      <c r="H52" s="26"/>
      <c r="I52" s="26"/>
      <c r="J52" s="26"/>
      <c r="K52" s="26"/>
    </row>
    <row r="53" spans="1:18" ht="23.25" customHeight="1" thickBot="1" x14ac:dyDescent="0.35">
      <c r="A53" s="236"/>
      <c r="B53" s="237"/>
      <c r="C53" s="238"/>
      <c r="D53" s="239"/>
      <c r="E53" s="240"/>
      <c r="F53" s="240"/>
      <c r="G53" s="240"/>
      <c r="H53" s="240"/>
      <c r="I53" s="240"/>
      <c r="J53" s="240"/>
      <c r="K53" s="240"/>
    </row>
    <row r="54" spans="1:18" ht="38.25" customHeight="1" thickBot="1" x14ac:dyDescent="0.45">
      <c r="A54" s="236"/>
      <c r="B54" s="55" t="s">
        <v>846</v>
      </c>
      <c r="C54" s="24"/>
      <c r="D54" s="25"/>
      <c r="E54" s="255"/>
      <c r="F54" s="26"/>
      <c r="G54" s="26"/>
      <c r="H54" s="26"/>
      <c r="I54" s="256"/>
      <c r="J54" s="26"/>
      <c r="K54" s="26"/>
    </row>
    <row r="55" spans="1:18" ht="78.75" customHeight="1" x14ac:dyDescent="0.25">
      <c r="A55" s="257"/>
      <c r="B55" s="258" t="s">
        <v>40</v>
      </c>
      <c r="C55" s="259" t="s">
        <v>41</v>
      </c>
      <c r="D55" s="260" t="s">
        <v>42</v>
      </c>
      <c r="E55" s="2667" t="s">
        <v>43</v>
      </c>
      <c r="F55" s="2668"/>
      <c r="G55" s="2668"/>
      <c r="H55" s="2669"/>
      <c r="I55" s="2670"/>
      <c r="J55" s="2412" t="s">
        <v>44</v>
      </c>
      <c r="K55" s="2413" t="s">
        <v>50</v>
      </c>
      <c r="L55" s="811" t="s">
        <v>572</v>
      </c>
      <c r="M55" s="812" t="s">
        <v>573</v>
      </c>
      <c r="N55" s="813" t="s">
        <v>574</v>
      </c>
      <c r="O55" s="812" t="s">
        <v>575</v>
      </c>
      <c r="P55" s="812" t="s">
        <v>576</v>
      </c>
      <c r="Q55" s="813" t="s">
        <v>577</v>
      </c>
      <c r="R55" s="814" t="s">
        <v>578</v>
      </c>
    </row>
    <row r="56" spans="1:18" ht="57" customHeight="1" x14ac:dyDescent="0.25">
      <c r="A56" s="224"/>
      <c r="B56" s="261"/>
      <c r="C56" s="262"/>
      <c r="D56" s="263"/>
      <c r="E56" s="264" t="s">
        <v>46</v>
      </c>
      <c r="F56" s="265" t="s">
        <v>47</v>
      </c>
      <c r="G56" s="265" t="s">
        <v>48</v>
      </c>
      <c r="H56" s="265" t="s">
        <v>49</v>
      </c>
      <c r="I56" s="266" t="s">
        <v>297</v>
      </c>
      <c r="J56" s="267"/>
      <c r="K56" s="766"/>
      <c r="L56" s="815"/>
      <c r="M56" s="816"/>
      <c r="N56" s="817"/>
      <c r="O56" s="816"/>
      <c r="P56" s="816"/>
      <c r="Q56" s="817"/>
      <c r="R56" s="818"/>
    </row>
    <row r="57" spans="1:18" ht="38.25" customHeight="1" thickBot="1" x14ac:dyDescent="0.35">
      <c r="A57" s="268">
        <v>1</v>
      </c>
      <c r="B57" s="136" t="s">
        <v>51</v>
      </c>
      <c r="C57" s="59"/>
      <c r="D57" s="59"/>
      <c r="E57" s="269"/>
      <c r="F57" s="270"/>
      <c r="G57" s="270"/>
      <c r="H57" s="431"/>
      <c r="I57" s="271"/>
      <c r="J57" s="272"/>
      <c r="K57" s="767"/>
      <c r="L57" s="815"/>
      <c r="M57" s="816"/>
      <c r="N57" s="817"/>
      <c r="O57" s="816"/>
      <c r="P57" s="816"/>
      <c r="Q57" s="817"/>
      <c r="R57" s="818"/>
    </row>
    <row r="58" spans="1:18" ht="69" customHeight="1" x14ac:dyDescent="0.3">
      <c r="A58" s="273" t="s">
        <v>52</v>
      </c>
      <c r="B58" s="2671" t="s">
        <v>53</v>
      </c>
      <c r="C58" s="2672"/>
      <c r="D58" s="2673"/>
      <c r="E58" s="542"/>
      <c r="F58" s="543"/>
      <c r="G58" s="543"/>
      <c r="H58" s="543"/>
      <c r="I58" s="544"/>
      <c r="J58" s="512"/>
      <c r="K58" s="768"/>
      <c r="L58" s="815"/>
      <c r="M58" s="816"/>
      <c r="N58" s="817"/>
      <c r="O58" s="816"/>
      <c r="P58" s="816"/>
      <c r="Q58" s="817"/>
      <c r="R58" s="818"/>
    </row>
    <row r="59" spans="1:18" ht="42" customHeight="1" x14ac:dyDescent="0.3">
      <c r="A59" s="224"/>
      <c r="B59" s="2674" t="s">
        <v>364</v>
      </c>
      <c r="C59" s="2675"/>
      <c r="D59" s="2648"/>
      <c r="E59" s="212"/>
      <c r="F59" s="61"/>
      <c r="G59" s="61"/>
      <c r="H59" s="61"/>
      <c r="I59" s="545"/>
      <c r="J59" s="513"/>
      <c r="K59" s="769"/>
      <c r="L59" s="819"/>
      <c r="M59" s="820"/>
      <c r="N59" s="821"/>
      <c r="O59" s="822"/>
      <c r="P59" s="822"/>
      <c r="Q59" s="821"/>
      <c r="R59" s="823"/>
    </row>
    <row r="60" spans="1:18" ht="92.25" customHeight="1" x14ac:dyDescent="0.3">
      <c r="A60" s="224"/>
      <c r="B60" s="2634" t="s">
        <v>369</v>
      </c>
      <c r="C60" s="2641"/>
      <c r="D60" s="2641"/>
      <c r="E60" s="212"/>
      <c r="F60" s="61"/>
      <c r="G60" s="61"/>
      <c r="H60" s="61"/>
      <c r="I60" s="213"/>
      <c r="J60" s="513"/>
      <c r="K60" s="769"/>
      <c r="L60" s="824"/>
      <c r="M60" s="825"/>
      <c r="N60" s="825"/>
      <c r="O60" s="825"/>
      <c r="P60" s="825"/>
      <c r="Q60" s="825"/>
      <c r="R60" s="826"/>
    </row>
    <row r="61" spans="1:18" ht="88.5" customHeight="1" x14ac:dyDescent="0.3">
      <c r="A61" s="224"/>
      <c r="B61" s="2634" t="s">
        <v>370</v>
      </c>
      <c r="C61" s="2641"/>
      <c r="D61" s="2641"/>
      <c r="E61" s="1567"/>
      <c r="F61" s="1568"/>
      <c r="G61" s="1568"/>
      <c r="H61" s="1568"/>
      <c r="I61" s="213"/>
      <c r="J61" s="1569"/>
      <c r="K61" s="1570"/>
      <c r="L61" s="819"/>
      <c r="M61" s="820"/>
      <c r="N61" s="821"/>
      <c r="O61" s="822"/>
      <c r="P61" s="822"/>
      <c r="Q61" s="821"/>
      <c r="R61" s="823"/>
    </row>
    <row r="62" spans="1:18" ht="131.25" customHeight="1" x14ac:dyDescent="0.3">
      <c r="A62" s="224"/>
      <c r="B62" s="170"/>
      <c r="C62" s="275" t="s">
        <v>54</v>
      </c>
      <c r="D62" s="475" t="s">
        <v>648</v>
      </c>
      <c r="E62" s="1571"/>
      <c r="F62" s="1572"/>
      <c r="G62" s="1572"/>
      <c r="H62" s="1572">
        <v>800</v>
      </c>
      <c r="I62" s="1573">
        <f>SUM(E62:H62)</f>
        <v>800</v>
      </c>
      <c r="J62" s="1574" t="s">
        <v>55</v>
      </c>
      <c r="K62" s="1575" t="s">
        <v>1061</v>
      </c>
      <c r="L62" s="819">
        <v>2</v>
      </c>
      <c r="M62" s="827">
        <v>30</v>
      </c>
      <c r="N62" s="821">
        <f>13.35</f>
        <v>13.35</v>
      </c>
      <c r="O62" s="822">
        <v>1</v>
      </c>
      <c r="P62" s="822" t="s">
        <v>579</v>
      </c>
      <c r="Q62" s="821"/>
      <c r="R62" s="823">
        <f>(L62*M62*N62*O62)+Q62-1</f>
        <v>800</v>
      </c>
    </row>
    <row r="63" spans="1:18" ht="75.75" customHeight="1" x14ac:dyDescent="0.3">
      <c r="A63" s="224"/>
      <c r="B63" s="63"/>
      <c r="C63" s="276" t="s">
        <v>445</v>
      </c>
      <c r="D63" s="455" t="s">
        <v>647</v>
      </c>
      <c r="E63" s="1576"/>
      <c r="F63" s="1577"/>
      <c r="G63" s="1572">
        <v>5000</v>
      </c>
      <c r="H63" s="1572"/>
      <c r="I63" s="1573">
        <f t="shared" ref="I63:I70" si="0">SUM(E63:H63)</f>
        <v>5000</v>
      </c>
      <c r="J63" s="1574" t="s">
        <v>732</v>
      </c>
      <c r="K63" s="1578" t="s">
        <v>650</v>
      </c>
      <c r="L63" s="819">
        <v>1</v>
      </c>
      <c r="M63" s="820">
        <v>1</v>
      </c>
      <c r="N63" s="821">
        <v>500</v>
      </c>
      <c r="O63" s="822">
        <v>10</v>
      </c>
      <c r="P63" s="822" t="s">
        <v>579</v>
      </c>
      <c r="Q63" s="822">
        <v>0</v>
      </c>
      <c r="R63" s="823">
        <f t="shared" ref="R63:R70" si="1">(L63*M63*N63*O63)+Q63</f>
        <v>5000</v>
      </c>
    </row>
    <row r="64" spans="1:18" ht="74.25" customHeight="1" x14ac:dyDescent="0.3">
      <c r="A64" s="224"/>
      <c r="B64" s="63"/>
      <c r="C64" s="277" t="s">
        <v>57</v>
      </c>
      <c r="D64" s="278" t="s">
        <v>763</v>
      </c>
      <c r="E64" s="1571"/>
      <c r="F64" s="1572"/>
      <c r="G64" s="1572"/>
      <c r="H64" s="1572">
        <f>6300+2000</f>
        <v>8300</v>
      </c>
      <c r="I64" s="1573">
        <f t="shared" ref="I64" si="2">SUM(E64:H64)</f>
        <v>8300</v>
      </c>
      <c r="J64" s="1574" t="s">
        <v>58</v>
      </c>
      <c r="K64" s="1579" t="s">
        <v>896</v>
      </c>
      <c r="L64" s="819">
        <v>6</v>
      </c>
      <c r="M64" s="827">
        <v>55</v>
      </c>
      <c r="N64" s="821">
        <v>25</v>
      </c>
      <c r="O64" s="822">
        <v>1</v>
      </c>
      <c r="P64" s="822" t="s">
        <v>581</v>
      </c>
      <c r="Q64" s="821">
        <f>50</f>
        <v>50</v>
      </c>
      <c r="R64" s="823">
        <f t="shared" ref="R64" si="3">(L64*M64*N64*O64)+Q64</f>
        <v>8300</v>
      </c>
    </row>
    <row r="65" spans="1:19" ht="102" customHeight="1" x14ac:dyDescent="0.3">
      <c r="A65" s="224"/>
      <c r="B65" s="63"/>
      <c r="C65" s="277" t="s">
        <v>651</v>
      </c>
      <c r="D65" s="278" t="s">
        <v>652</v>
      </c>
      <c r="E65" s="1571"/>
      <c r="F65" s="1572">
        <v>43610</v>
      </c>
      <c r="G65" s="1572">
        <f>34200</f>
        <v>34200</v>
      </c>
      <c r="H65" s="1572"/>
      <c r="I65" s="1573">
        <f t="shared" si="0"/>
        <v>77810</v>
      </c>
      <c r="J65" s="1574" t="s">
        <v>58</v>
      </c>
      <c r="K65" s="1579" t="s">
        <v>756</v>
      </c>
      <c r="L65" s="819">
        <v>2</v>
      </c>
      <c r="M65" s="827">
        <v>120</v>
      </c>
      <c r="N65" s="821">
        <v>104</v>
      </c>
      <c r="O65" s="822">
        <v>3</v>
      </c>
      <c r="P65" s="822" t="s">
        <v>581</v>
      </c>
      <c r="Q65" s="821">
        <v>2930</v>
      </c>
      <c r="R65" s="823">
        <f t="shared" si="1"/>
        <v>77810</v>
      </c>
    </row>
    <row r="66" spans="1:19" ht="75.75" customHeight="1" thickBot="1" x14ac:dyDescent="0.35">
      <c r="A66" s="280"/>
      <c r="B66" s="281"/>
      <c r="C66" s="282" t="s">
        <v>60</v>
      </c>
      <c r="D66" s="476" t="s">
        <v>582</v>
      </c>
      <c r="E66" s="1571">
        <f>3140</f>
        <v>3140</v>
      </c>
      <c r="F66" s="1572">
        <f>11693</f>
        <v>11693</v>
      </c>
      <c r="G66" s="1572">
        <f>8367-800</f>
        <v>7567</v>
      </c>
      <c r="H66" s="1572">
        <f>9600</f>
        <v>9600</v>
      </c>
      <c r="I66" s="1573">
        <f t="shared" si="0"/>
        <v>32000</v>
      </c>
      <c r="J66" s="1574" t="s">
        <v>61</v>
      </c>
      <c r="K66" s="1579" t="s">
        <v>1062</v>
      </c>
      <c r="L66" s="819">
        <v>1</v>
      </c>
      <c r="M66" s="827">
        <v>2</v>
      </c>
      <c r="N66" s="821">
        <v>400</v>
      </c>
      <c r="O66" s="822">
        <v>40</v>
      </c>
      <c r="P66" s="822" t="s">
        <v>583</v>
      </c>
      <c r="Q66" s="821"/>
      <c r="R66" s="823">
        <f t="shared" si="1"/>
        <v>32000</v>
      </c>
    </row>
    <row r="67" spans="1:19" ht="111.75" customHeight="1" x14ac:dyDescent="0.3">
      <c r="A67" s="224"/>
      <c r="B67" s="63"/>
      <c r="C67" s="277" t="s">
        <v>62</v>
      </c>
      <c r="D67" s="278" t="s">
        <v>753</v>
      </c>
      <c r="E67" s="1571">
        <f>95250</f>
        <v>95250</v>
      </c>
      <c r="F67" s="1572">
        <f>204585+700+9846.64</f>
        <v>215131.64</v>
      </c>
      <c r="G67" s="1572">
        <f>84700+37100</f>
        <v>121800</v>
      </c>
      <c r="H67" s="1572"/>
      <c r="I67" s="1573">
        <f>SUM(E67:H67)</f>
        <v>432181.64</v>
      </c>
      <c r="J67" s="1574" t="s">
        <v>63</v>
      </c>
      <c r="K67" s="1578" t="s">
        <v>722</v>
      </c>
      <c r="L67" s="819">
        <v>12</v>
      </c>
      <c r="M67" s="827">
        <v>30</v>
      </c>
      <c r="N67" s="821">
        <v>170</v>
      </c>
      <c r="O67" s="822">
        <v>6</v>
      </c>
      <c r="P67" s="822" t="s">
        <v>581</v>
      </c>
      <c r="Q67" s="821">
        <f>4000*10+24281.64+700</f>
        <v>64981.64</v>
      </c>
      <c r="R67" s="823">
        <f t="shared" si="1"/>
        <v>432181.64</v>
      </c>
    </row>
    <row r="68" spans="1:19" ht="129" customHeight="1" x14ac:dyDescent="0.3">
      <c r="A68" s="224"/>
      <c r="B68" s="204"/>
      <c r="C68" s="445" t="s">
        <v>730</v>
      </c>
      <c r="D68" s="455" t="s">
        <v>899</v>
      </c>
      <c r="E68" s="1571"/>
      <c r="F68" s="1572"/>
      <c r="G68" s="1572"/>
      <c r="H68" s="1572">
        <f>74200+12833.2</f>
        <v>87033.2</v>
      </c>
      <c r="I68" s="1573">
        <f>SUM(E68:H68)</f>
        <v>87033.2</v>
      </c>
      <c r="J68" s="1574" t="s">
        <v>63</v>
      </c>
      <c r="K68" s="1578" t="s">
        <v>1155</v>
      </c>
      <c r="L68" s="819">
        <v>3</v>
      </c>
      <c r="M68" s="820">
        <v>28</v>
      </c>
      <c r="N68" s="821">
        <v>170</v>
      </c>
      <c r="O68" s="822">
        <v>5</v>
      </c>
      <c r="P68" s="822" t="s">
        <v>581</v>
      </c>
      <c r="Q68" s="821">
        <v>15633.2</v>
      </c>
      <c r="R68" s="828">
        <f t="shared" si="1"/>
        <v>87033.2</v>
      </c>
    </row>
    <row r="69" spans="1:19" ht="86.25" customHeight="1" x14ac:dyDescent="0.3">
      <c r="A69" s="224"/>
      <c r="B69" s="204"/>
      <c r="C69" s="459" t="s">
        <v>65</v>
      </c>
      <c r="D69" s="451" t="s">
        <v>710</v>
      </c>
      <c r="E69" s="1572"/>
      <c r="F69" s="1572"/>
      <c r="G69" s="1572">
        <f>2940</f>
        <v>2940</v>
      </c>
      <c r="H69" s="1572"/>
      <c r="I69" s="1577">
        <f t="shared" ref="I69" si="4">SUM(E69:H69)</f>
        <v>2940</v>
      </c>
      <c r="J69" s="1572" t="s">
        <v>169</v>
      </c>
      <c r="K69" s="1578" t="s">
        <v>869</v>
      </c>
      <c r="L69" s="819">
        <v>1</v>
      </c>
      <c r="M69" s="820">
        <v>42</v>
      </c>
      <c r="N69" s="821">
        <v>35</v>
      </c>
      <c r="O69" s="822">
        <v>2</v>
      </c>
      <c r="P69" s="822" t="s">
        <v>581</v>
      </c>
      <c r="Q69" s="821"/>
      <c r="R69" s="823">
        <f t="shared" si="1"/>
        <v>2940</v>
      </c>
      <c r="S69" s="83"/>
    </row>
    <row r="70" spans="1:19" ht="89.25" customHeight="1" thickBot="1" x14ac:dyDescent="0.35">
      <c r="A70" s="224"/>
      <c r="B70" s="138"/>
      <c r="C70" s="283" t="s">
        <v>68</v>
      </c>
      <c r="D70" s="455" t="s">
        <v>69</v>
      </c>
      <c r="E70" s="1580">
        <f>10560</f>
        <v>10560</v>
      </c>
      <c r="F70" s="1581"/>
      <c r="G70" s="1581"/>
      <c r="H70" s="1581"/>
      <c r="I70" s="1582">
        <f t="shared" si="0"/>
        <v>10560</v>
      </c>
      <c r="J70" s="1583" t="s">
        <v>61</v>
      </c>
      <c r="K70" s="1494" t="s">
        <v>764</v>
      </c>
      <c r="L70" s="819">
        <v>1</v>
      </c>
      <c r="M70" s="827">
        <v>15</v>
      </c>
      <c r="N70" s="821">
        <v>195</v>
      </c>
      <c r="O70" s="822">
        <v>3</v>
      </c>
      <c r="P70" s="822" t="s">
        <v>581</v>
      </c>
      <c r="Q70" s="821">
        <f>1785</f>
        <v>1785</v>
      </c>
      <c r="R70" s="823">
        <f t="shared" si="1"/>
        <v>10560</v>
      </c>
    </row>
    <row r="71" spans="1:19" ht="36.75" customHeight="1" thickBot="1" x14ac:dyDescent="0.35">
      <c r="A71" s="284"/>
      <c r="B71" s="285" t="s">
        <v>45</v>
      </c>
      <c r="C71" s="286"/>
      <c r="D71" s="477"/>
      <c r="E71" s="553">
        <f>SUM(E62:E70)</f>
        <v>108950</v>
      </c>
      <c r="F71" s="553">
        <f t="shared" ref="F71:I71" si="5">SUM(F62:F70)</f>
        <v>270434.64</v>
      </c>
      <c r="G71" s="553">
        <f t="shared" si="5"/>
        <v>171507</v>
      </c>
      <c r="H71" s="553">
        <f t="shared" si="5"/>
        <v>105733.2</v>
      </c>
      <c r="I71" s="553">
        <f t="shared" si="5"/>
        <v>656624.84</v>
      </c>
      <c r="J71" s="515"/>
      <c r="K71" s="774"/>
      <c r="L71" s="829"/>
      <c r="M71" s="830"/>
      <c r="N71" s="831"/>
      <c r="O71" s="831"/>
      <c r="P71" s="831"/>
      <c r="Q71" s="831"/>
      <c r="R71" s="553">
        <f t="shared" ref="R71" si="6">SUM(R62:R70)</f>
        <v>656624.84</v>
      </c>
    </row>
    <row r="72" spans="1:19" ht="21" thickBot="1" x14ac:dyDescent="0.35">
      <c r="A72" s="224"/>
      <c r="B72" s="287"/>
      <c r="C72" s="287"/>
      <c r="D72" s="478"/>
      <c r="E72" s="554" t="s">
        <v>33</v>
      </c>
      <c r="F72" s="555"/>
      <c r="G72" s="555"/>
      <c r="H72" s="555"/>
      <c r="I72" s="556"/>
      <c r="J72" s="516"/>
      <c r="K72" s="775"/>
      <c r="L72" s="819"/>
      <c r="M72" s="827"/>
      <c r="N72" s="821"/>
      <c r="O72" s="822"/>
      <c r="P72" s="822"/>
      <c r="Q72" s="821"/>
      <c r="R72" s="823"/>
    </row>
    <row r="73" spans="1:19" ht="64.5" customHeight="1" x14ac:dyDescent="0.3">
      <c r="A73" s="288" t="s">
        <v>71</v>
      </c>
      <c r="B73" s="2676" t="s">
        <v>72</v>
      </c>
      <c r="C73" s="2677"/>
      <c r="D73" s="2678"/>
      <c r="E73" s="557"/>
      <c r="F73" s="558"/>
      <c r="G73" s="558"/>
      <c r="H73" s="558"/>
      <c r="I73" s="559"/>
      <c r="J73" s="289"/>
      <c r="K73" s="776"/>
      <c r="L73" s="819"/>
      <c r="M73" s="827"/>
      <c r="N73" s="821"/>
      <c r="O73" s="822"/>
      <c r="P73" s="822"/>
      <c r="Q73" s="821"/>
      <c r="R73" s="823"/>
    </row>
    <row r="74" spans="1:19" ht="47.25" customHeight="1" x14ac:dyDescent="0.3">
      <c r="A74" s="224"/>
      <c r="B74" s="2656" t="s">
        <v>371</v>
      </c>
      <c r="C74" s="2657"/>
      <c r="D74" s="2648"/>
      <c r="E74" s="560"/>
      <c r="F74" s="561"/>
      <c r="G74" s="561"/>
      <c r="H74" s="561"/>
      <c r="I74" s="545"/>
      <c r="J74" s="517"/>
      <c r="K74" s="777"/>
      <c r="L74" s="819"/>
      <c r="M74" s="827"/>
      <c r="N74" s="821"/>
      <c r="O74" s="822"/>
      <c r="P74" s="822"/>
      <c r="Q74" s="821"/>
      <c r="R74" s="823"/>
    </row>
    <row r="75" spans="1:19" ht="90.75" customHeight="1" x14ac:dyDescent="0.3">
      <c r="A75" s="224"/>
      <c r="B75" s="2634" t="s">
        <v>394</v>
      </c>
      <c r="C75" s="2641"/>
      <c r="D75" s="2641"/>
      <c r="E75" s="212"/>
      <c r="F75" s="61"/>
      <c r="G75" s="61"/>
      <c r="H75" s="61"/>
      <c r="I75" s="213"/>
      <c r="J75" s="513"/>
      <c r="K75" s="769"/>
      <c r="L75" s="829"/>
      <c r="M75" s="830"/>
      <c r="N75" s="831"/>
      <c r="O75" s="831"/>
      <c r="P75" s="831"/>
      <c r="Q75" s="831"/>
      <c r="R75" s="832"/>
    </row>
    <row r="76" spans="1:19" ht="63.75" customHeight="1" x14ac:dyDescent="0.3">
      <c r="A76" s="224"/>
      <c r="B76" s="2642" t="s">
        <v>372</v>
      </c>
      <c r="C76" s="2643"/>
      <c r="D76" s="2643"/>
      <c r="E76" s="546"/>
      <c r="F76" s="547"/>
      <c r="G76" s="547"/>
      <c r="H76" s="547"/>
      <c r="I76" s="562"/>
      <c r="J76" s="274"/>
      <c r="K76" s="770"/>
      <c r="L76" s="819"/>
      <c r="M76" s="827"/>
      <c r="N76" s="821"/>
      <c r="O76" s="822"/>
      <c r="P76" s="822"/>
      <c r="Q76" s="821"/>
      <c r="R76" s="823"/>
    </row>
    <row r="77" spans="1:19" ht="68.25" customHeight="1" x14ac:dyDescent="0.3">
      <c r="A77" s="224"/>
      <c r="B77" s="63"/>
      <c r="C77" s="290" t="s">
        <v>73</v>
      </c>
      <c r="D77" s="278" t="s">
        <v>584</v>
      </c>
      <c r="E77" s="563">
        <f>13376</f>
        <v>13376</v>
      </c>
      <c r="F77" s="564">
        <f>6750+22000</f>
        <v>28750</v>
      </c>
      <c r="G77" s="564">
        <f>18250</f>
        <v>18250</v>
      </c>
      <c r="H77" s="564"/>
      <c r="I77" s="545">
        <f t="shared" ref="I77:I85" si="7">SUM(E77:H77)</f>
        <v>60376</v>
      </c>
      <c r="J77" s="279" t="s">
        <v>61</v>
      </c>
      <c r="K77" s="772" t="s">
        <v>1041</v>
      </c>
      <c r="L77" s="819">
        <v>1</v>
      </c>
      <c r="M77" s="827">
        <v>6</v>
      </c>
      <c r="N77" s="821">
        <v>500</v>
      </c>
      <c r="O77" s="822">
        <v>18</v>
      </c>
      <c r="P77" s="822" t="s">
        <v>581</v>
      </c>
      <c r="Q77" s="821">
        <f>6376</f>
        <v>6376</v>
      </c>
      <c r="R77" s="823">
        <f t="shared" ref="R77:R78" si="8">(L77*M77*N77*O77)+Q77</f>
        <v>60376</v>
      </c>
    </row>
    <row r="78" spans="1:19" ht="87.75" customHeight="1" x14ac:dyDescent="0.3">
      <c r="A78" s="224"/>
      <c r="B78" s="63"/>
      <c r="C78" s="290" t="s">
        <v>75</v>
      </c>
      <c r="D78" s="278" t="s">
        <v>711</v>
      </c>
      <c r="E78" s="563"/>
      <c r="F78" s="457"/>
      <c r="G78" s="565">
        <v>11270</v>
      </c>
      <c r="H78" s="552">
        <v>10000</v>
      </c>
      <c r="I78" s="545">
        <f t="shared" si="7"/>
        <v>21270</v>
      </c>
      <c r="J78" s="458" t="s">
        <v>61</v>
      </c>
      <c r="K78" s="1348" t="s">
        <v>1042</v>
      </c>
      <c r="L78" s="819">
        <v>1</v>
      </c>
      <c r="M78" s="827">
        <v>1</v>
      </c>
      <c r="N78" s="821">
        <f>11270</f>
        <v>11270</v>
      </c>
      <c r="O78" s="822">
        <v>1</v>
      </c>
      <c r="P78" s="822"/>
      <c r="Q78" s="821">
        <f>25*400</f>
        <v>10000</v>
      </c>
      <c r="R78" s="823">
        <f t="shared" si="8"/>
        <v>21270</v>
      </c>
    </row>
    <row r="79" spans="1:19" ht="46.5" customHeight="1" x14ac:dyDescent="0.3">
      <c r="A79" s="224"/>
      <c r="B79" s="68"/>
      <c r="C79" s="291" t="s">
        <v>80</v>
      </c>
      <c r="D79" s="479" t="s">
        <v>81</v>
      </c>
      <c r="E79" s="550"/>
      <c r="F79" s="457"/>
      <c r="G79" s="457"/>
      <c r="H79" s="457"/>
      <c r="I79" s="545"/>
      <c r="J79" s="458"/>
      <c r="K79" s="773"/>
      <c r="L79" s="819"/>
      <c r="M79" s="827"/>
      <c r="N79" s="821"/>
      <c r="O79" s="822"/>
      <c r="P79" s="822"/>
      <c r="Q79" s="821"/>
      <c r="R79" s="823"/>
    </row>
    <row r="80" spans="1:19" ht="84.75" customHeight="1" x14ac:dyDescent="0.3">
      <c r="A80" s="224"/>
      <c r="B80" s="68"/>
      <c r="C80" s="292" t="s">
        <v>451</v>
      </c>
      <c r="D80" s="480" t="s">
        <v>751</v>
      </c>
      <c r="E80" s="566">
        <v>17700</v>
      </c>
      <c r="F80" s="465">
        <f>10263</f>
        <v>10263</v>
      </c>
      <c r="G80" s="465"/>
      <c r="H80" s="465"/>
      <c r="I80" s="545">
        <f t="shared" si="7"/>
        <v>27963</v>
      </c>
      <c r="J80" s="518" t="s">
        <v>79</v>
      </c>
      <c r="K80" s="778" t="s">
        <v>1043</v>
      </c>
      <c r="L80" s="833">
        <v>1</v>
      </c>
      <c r="M80" s="827">
        <v>1</v>
      </c>
      <c r="N80" s="834">
        <f>27963</f>
        <v>27963</v>
      </c>
      <c r="O80" s="834">
        <v>1</v>
      </c>
      <c r="P80" s="834"/>
      <c r="Q80" s="834">
        <v>0</v>
      </c>
      <c r="R80" s="835">
        <f>(L80*M80*N80*O80)+Q80</f>
        <v>27963</v>
      </c>
    </row>
    <row r="81" spans="1:20" ht="72.75" customHeight="1" x14ac:dyDescent="0.3">
      <c r="A81" s="224"/>
      <c r="B81" s="142"/>
      <c r="C81" s="290" t="s">
        <v>452</v>
      </c>
      <c r="D81" s="278" t="s">
        <v>750</v>
      </c>
      <c r="E81" s="567"/>
      <c r="F81" s="568"/>
      <c r="G81" s="568">
        <v>23800</v>
      </c>
      <c r="H81" s="568"/>
      <c r="I81" s="545">
        <f t="shared" si="7"/>
        <v>23800</v>
      </c>
      <c r="J81" s="279" t="s">
        <v>79</v>
      </c>
      <c r="K81" s="772" t="s">
        <v>915</v>
      </c>
      <c r="L81" s="836">
        <v>1</v>
      </c>
      <c r="M81" s="837">
        <v>1</v>
      </c>
      <c r="N81" s="834">
        <v>23800</v>
      </c>
      <c r="O81" s="838">
        <v>1</v>
      </c>
      <c r="P81" s="820"/>
      <c r="Q81" s="821"/>
      <c r="R81" s="823">
        <f>(L81*M81*N81*O81)+Q81</f>
        <v>23800</v>
      </c>
    </row>
    <row r="82" spans="1:20" ht="114" customHeight="1" x14ac:dyDescent="0.3">
      <c r="A82" s="224"/>
      <c r="B82" s="142"/>
      <c r="C82" s="293" t="s">
        <v>1127</v>
      </c>
      <c r="D82" s="455" t="s">
        <v>749</v>
      </c>
      <c r="E82" s="566">
        <v>52390.5</v>
      </c>
      <c r="F82" s="568">
        <v>0</v>
      </c>
      <c r="G82" s="568"/>
      <c r="H82" s="568"/>
      <c r="I82" s="545">
        <f t="shared" si="7"/>
        <v>52390.5</v>
      </c>
      <c r="J82" s="458" t="s">
        <v>732</v>
      </c>
      <c r="K82" s="773" t="s">
        <v>757</v>
      </c>
      <c r="L82" s="839">
        <v>3</v>
      </c>
      <c r="M82" s="840">
        <v>30</v>
      </c>
      <c r="N82" s="840">
        <v>170</v>
      </c>
      <c r="O82" s="840">
        <v>3</v>
      </c>
      <c r="P82" s="840" t="s">
        <v>581</v>
      </c>
      <c r="Q82" s="840">
        <f>6490.5</f>
        <v>6490.5</v>
      </c>
      <c r="R82" s="841">
        <f>(L82*M82*N82*O82)+Q82</f>
        <v>52390.5</v>
      </c>
      <c r="S82" s="82"/>
    </row>
    <row r="83" spans="1:20" ht="133.5" customHeight="1" x14ac:dyDescent="0.3">
      <c r="A83" s="224"/>
      <c r="B83" s="442"/>
      <c r="C83" s="443" t="s">
        <v>1128</v>
      </c>
      <c r="D83" s="455" t="s">
        <v>654</v>
      </c>
      <c r="E83" s="566">
        <v>0</v>
      </c>
      <c r="F83" s="568"/>
      <c r="G83" s="465"/>
      <c r="H83" s="568">
        <v>54600</v>
      </c>
      <c r="I83" s="551">
        <f t="shared" ref="I83" si="9">SUM(E83:H83)</f>
        <v>54600</v>
      </c>
      <c r="J83" s="458" t="s">
        <v>732</v>
      </c>
      <c r="K83" s="773" t="s">
        <v>895</v>
      </c>
      <c r="L83" s="839">
        <v>26</v>
      </c>
      <c r="M83" s="840">
        <v>30</v>
      </c>
      <c r="N83" s="840">
        <v>30</v>
      </c>
      <c r="O83" s="842">
        <v>2</v>
      </c>
      <c r="P83" s="840" t="s">
        <v>581</v>
      </c>
      <c r="Q83" s="840">
        <f>54600-46800</f>
        <v>7800</v>
      </c>
      <c r="R83" s="828">
        <f t="shared" ref="R83" si="10">(L83*M83*N83*O83)+Q83</f>
        <v>54600</v>
      </c>
      <c r="S83" s="395"/>
    </row>
    <row r="84" spans="1:20" ht="90.75" customHeight="1" x14ac:dyDescent="0.3">
      <c r="A84" s="224"/>
      <c r="B84" s="142"/>
      <c r="C84" s="293" t="s">
        <v>455</v>
      </c>
      <c r="D84" s="455" t="s">
        <v>456</v>
      </c>
      <c r="E84" s="569">
        <v>8073</v>
      </c>
      <c r="F84" s="568"/>
      <c r="G84" s="568"/>
      <c r="H84" s="568"/>
      <c r="I84" s="545">
        <f t="shared" si="7"/>
        <v>8073</v>
      </c>
      <c r="J84" s="729" t="s">
        <v>58</v>
      </c>
      <c r="K84" s="773" t="s">
        <v>459</v>
      </c>
      <c r="L84" s="839">
        <v>1</v>
      </c>
      <c r="M84" s="840">
        <v>5</v>
      </c>
      <c r="N84" s="840">
        <v>150</v>
      </c>
      <c r="O84" s="840">
        <v>8</v>
      </c>
      <c r="P84" s="840" t="s">
        <v>581</v>
      </c>
      <c r="Q84" s="840">
        <v>2073</v>
      </c>
      <c r="R84" s="841">
        <f>(L84*M84*N84*O84)+Q84</f>
        <v>8073</v>
      </c>
    </row>
    <row r="85" spans="1:20" ht="68.25" customHeight="1" thickBot="1" x14ac:dyDescent="0.35">
      <c r="A85" s="224"/>
      <c r="B85" s="142"/>
      <c r="C85" s="293" t="s">
        <v>457</v>
      </c>
      <c r="D85" s="455" t="s">
        <v>458</v>
      </c>
      <c r="E85" s="570">
        <v>7346.5</v>
      </c>
      <c r="F85" s="568"/>
      <c r="G85" s="568"/>
      <c r="H85" s="568"/>
      <c r="I85" s="545">
        <f t="shared" si="7"/>
        <v>7346.5</v>
      </c>
      <c r="J85" s="730" t="s">
        <v>58</v>
      </c>
      <c r="K85" s="773" t="s">
        <v>460</v>
      </c>
      <c r="L85" s="839">
        <v>1</v>
      </c>
      <c r="M85" s="840">
        <v>5</v>
      </c>
      <c r="N85" s="840">
        <v>110</v>
      </c>
      <c r="O85" s="840">
        <v>8</v>
      </c>
      <c r="P85" s="840"/>
      <c r="Q85" s="840">
        <v>2946.5</v>
      </c>
      <c r="R85" s="841">
        <f>(L85*M85*N85*O85)+Q85</f>
        <v>7346.5</v>
      </c>
    </row>
    <row r="86" spans="1:20" ht="34.5" customHeight="1" thickBot="1" x14ac:dyDescent="0.35">
      <c r="A86" s="284"/>
      <c r="B86" s="294" t="s">
        <v>45</v>
      </c>
      <c r="C86" s="295"/>
      <c r="D86" s="481"/>
      <c r="E86" s="554">
        <f>SUM(E77:E85)</f>
        <v>98886</v>
      </c>
      <c r="F86" s="554">
        <f>SUM(F77:F85)</f>
        <v>39013</v>
      </c>
      <c r="G86" s="554">
        <f>SUM(G77:G85)</f>
        <v>53320</v>
      </c>
      <c r="H86" s="554">
        <f>SUM(H77:H85)</f>
        <v>64600</v>
      </c>
      <c r="I86" s="554">
        <f>SUM(I77:I85)</f>
        <v>255819</v>
      </c>
      <c r="J86" s="516"/>
      <c r="K86" s="775"/>
      <c r="L86" s="829"/>
      <c r="M86" s="830"/>
      <c r="N86" s="831"/>
      <c r="O86" s="831"/>
      <c r="P86" s="831"/>
      <c r="Q86" s="831"/>
      <c r="R86" s="832">
        <f>SUM(R77:R85)</f>
        <v>255819</v>
      </c>
      <c r="T86" s="62"/>
    </row>
    <row r="87" spans="1:20" ht="20.25" x14ac:dyDescent="0.3">
      <c r="A87" s="224"/>
      <c r="B87" s="296"/>
      <c r="C87" s="277"/>
      <c r="D87" s="278"/>
      <c r="E87" s="571"/>
      <c r="F87" s="572"/>
      <c r="G87" s="572"/>
      <c r="H87" s="572"/>
      <c r="I87" s="573"/>
      <c r="J87" s="289"/>
      <c r="K87" s="776"/>
      <c r="L87" s="843"/>
      <c r="M87" s="827"/>
      <c r="N87" s="821"/>
      <c r="O87" s="822"/>
      <c r="P87" s="822"/>
      <c r="Q87" s="821"/>
      <c r="R87" s="823"/>
    </row>
    <row r="88" spans="1:20" ht="31.5" customHeight="1" x14ac:dyDescent="0.3">
      <c r="A88" s="236">
        <v>2</v>
      </c>
      <c r="B88" s="297" t="s">
        <v>82</v>
      </c>
      <c r="C88" s="298"/>
      <c r="D88" s="482"/>
      <c r="E88" s="574"/>
      <c r="F88" s="575"/>
      <c r="G88" s="461"/>
      <c r="H88" s="461"/>
      <c r="I88" s="551"/>
      <c r="J88" s="519"/>
      <c r="K88" s="779"/>
      <c r="L88" s="819"/>
      <c r="M88" s="827"/>
      <c r="N88" s="821"/>
      <c r="O88" s="822"/>
      <c r="P88" s="822"/>
      <c r="Q88" s="821"/>
      <c r="R88" s="823"/>
    </row>
    <row r="89" spans="1:20" ht="106.5" customHeight="1" x14ac:dyDescent="0.3">
      <c r="A89" s="299">
        <v>2.1</v>
      </c>
      <c r="B89" s="2654" t="s">
        <v>83</v>
      </c>
      <c r="C89" s="2655"/>
      <c r="D89" s="300"/>
      <c r="E89" s="571"/>
      <c r="F89" s="572"/>
      <c r="G89" s="572"/>
      <c r="H89" s="572"/>
      <c r="I89" s="573"/>
      <c r="J89" s="289"/>
      <c r="K89" s="776"/>
      <c r="L89" s="833"/>
      <c r="M89" s="827"/>
      <c r="N89" s="821"/>
      <c r="O89" s="822"/>
      <c r="P89" s="822"/>
      <c r="Q89" s="821"/>
      <c r="R89" s="823"/>
    </row>
    <row r="90" spans="1:20" ht="81.75" customHeight="1" x14ac:dyDescent="0.3">
      <c r="A90" s="224"/>
      <c r="B90" s="2656" t="s">
        <v>373</v>
      </c>
      <c r="C90" s="2657"/>
      <c r="D90" s="2648"/>
      <c r="E90" s="576"/>
      <c r="F90" s="552"/>
      <c r="G90" s="552"/>
      <c r="H90" s="552"/>
      <c r="I90" s="577"/>
      <c r="J90" s="466"/>
      <c r="K90" s="780"/>
      <c r="L90" s="819"/>
      <c r="M90" s="827"/>
      <c r="N90" s="821"/>
      <c r="O90" s="822"/>
      <c r="P90" s="822"/>
      <c r="Q90" s="821"/>
      <c r="R90" s="823"/>
    </row>
    <row r="91" spans="1:20" ht="122.25" customHeight="1" x14ac:dyDescent="0.3">
      <c r="A91" s="224"/>
      <c r="B91" s="2634" t="s">
        <v>374</v>
      </c>
      <c r="C91" s="2641"/>
      <c r="D91" s="2641"/>
      <c r="E91" s="214"/>
      <c r="F91" s="203"/>
      <c r="G91" s="203"/>
      <c r="H91" s="203"/>
      <c r="I91" s="578"/>
      <c r="J91" s="448"/>
      <c r="K91" s="463"/>
      <c r="L91" s="819"/>
      <c r="M91" s="827"/>
      <c r="N91" s="821"/>
      <c r="O91" s="822"/>
      <c r="P91" s="822"/>
      <c r="Q91" s="821"/>
      <c r="R91" s="823"/>
    </row>
    <row r="92" spans="1:20" ht="210.75" customHeight="1" x14ac:dyDescent="0.3">
      <c r="A92" s="224"/>
      <c r="B92" s="2634" t="s">
        <v>375</v>
      </c>
      <c r="C92" s="2641"/>
      <c r="D92" s="2641"/>
      <c r="E92" s="214"/>
      <c r="F92" s="203"/>
      <c r="G92" s="203"/>
      <c r="H92" s="203"/>
      <c r="I92" s="578"/>
      <c r="J92" s="448"/>
      <c r="K92" s="781"/>
      <c r="L92" s="819"/>
      <c r="M92" s="827"/>
      <c r="N92" s="821"/>
      <c r="O92" s="822"/>
      <c r="P92" s="822"/>
      <c r="Q92" s="821"/>
      <c r="R92" s="823"/>
    </row>
    <row r="93" spans="1:20" ht="143.25" customHeight="1" x14ac:dyDescent="0.3">
      <c r="A93" s="224"/>
      <c r="B93" s="170"/>
      <c r="C93" s="171" t="s">
        <v>85</v>
      </c>
      <c r="D93" s="483" t="s">
        <v>587</v>
      </c>
      <c r="E93" s="579">
        <f>18932</f>
        <v>18932</v>
      </c>
      <c r="F93" s="580"/>
      <c r="G93" s="580"/>
      <c r="H93" s="457"/>
      <c r="I93" s="545">
        <f t="shared" ref="I93:I107" si="11">SUM(E93:H93)</f>
        <v>18932</v>
      </c>
      <c r="J93" s="520" t="s">
        <v>86</v>
      </c>
      <c r="K93" s="782" t="s">
        <v>588</v>
      </c>
      <c r="L93" s="819">
        <v>1</v>
      </c>
      <c r="M93" s="827">
        <v>32</v>
      </c>
      <c r="N93" s="821">
        <v>195</v>
      </c>
      <c r="O93" s="822">
        <v>3</v>
      </c>
      <c r="P93" s="822" t="s">
        <v>581</v>
      </c>
      <c r="Q93" s="821">
        <f>212</f>
        <v>212</v>
      </c>
      <c r="R93" s="823">
        <f t="shared" ref="R93:R102" si="12">(L93*M93*N93*O93)+Q93</f>
        <v>18932</v>
      </c>
    </row>
    <row r="94" spans="1:20" ht="111" customHeight="1" x14ac:dyDescent="0.3">
      <c r="A94" s="224"/>
      <c r="B94" s="1590"/>
      <c r="C94" s="207" t="s">
        <v>87</v>
      </c>
      <c r="D94" s="1591" t="s">
        <v>886</v>
      </c>
      <c r="E94" s="1592">
        <f>80153</f>
        <v>80153</v>
      </c>
      <c r="F94" s="1593">
        <f>207167</f>
        <v>207167</v>
      </c>
      <c r="G94" s="1593">
        <f>49600</f>
        <v>49600</v>
      </c>
      <c r="H94" s="1594"/>
      <c r="I94" s="1595">
        <f t="shared" si="11"/>
        <v>336920</v>
      </c>
      <c r="J94" s="326" t="s">
        <v>58</v>
      </c>
      <c r="K94" s="1596" t="s">
        <v>916</v>
      </c>
      <c r="L94" s="819">
        <v>14</v>
      </c>
      <c r="M94" s="827">
        <v>25</v>
      </c>
      <c r="N94" s="821">
        <v>170</v>
      </c>
      <c r="O94" s="822">
        <v>5</v>
      </c>
      <c r="P94" s="822" t="s">
        <v>581</v>
      </c>
      <c r="Q94" s="821">
        <f>39420</f>
        <v>39420</v>
      </c>
      <c r="R94" s="823">
        <f t="shared" si="12"/>
        <v>336920</v>
      </c>
    </row>
    <row r="95" spans="1:20" ht="91.5" customHeight="1" x14ac:dyDescent="0.3">
      <c r="A95" s="224"/>
      <c r="B95" s="63"/>
      <c r="C95" s="1584" t="s">
        <v>89</v>
      </c>
      <c r="D95" s="1585" t="s">
        <v>870</v>
      </c>
      <c r="E95" s="1586"/>
      <c r="F95" s="1587"/>
      <c r="G95" s="1587">
        <f>3888</f>
        <v>3888</v>
      </c>
      <c r="H95" s="1587">
        <f>2000</f>
        <v>2000</v>
      </c>
      <c r="I95" s="213">
        <f t="shared" si="11"/>
        <v>5888</v>
      </c>
      <c r="J95" s="1588" t="s">
        <v>58</v>
      </c>
      <c r="K95" s="1589" t="s">
        <v>887</v>
      </c>
      <c r="L95" s="819">
        <v>2</v>
      </c>
      <c r="M95" s="827">
        <v>200</v>
      </c>
      <c r="N95" s="821">
        <v>5</v>
      </c>
      <c r="O95" s="822">
        <v>1</v>
      </c>
      <c r="P95" s="822"/>
      <c r="Q95" s="821">
        <f>3888</f>
        <v>3888</v>
      </c>
      <c r="R95" s="823">
        <f t="shared" si="12"/>
        <v>5888</v>
      </c>
      <c r="S95">
        <f>5888/400</f>
        <v>14.72</v>
      </c>
    </row>
    <row r="96" spans="1:20" ht="76.5" customHeight="1" x14ac:dyDescent="0.3">
      <c r="A96" s="224"/>
      <c r="B96" s="63"/>
      <c r="C96" s="301" t="s">
        <v>462</v>
      </c>
      <c r="D96" s="455" t="s">
        <v>901</v>
      </c>
      <c r="E96" s="550"/>
      <c r="F96" s="457">
        <f>652</f>
        <v>652</v>
      </c>
      <c r="G96" s="580"/>
      <c r="H96" s="457"/>
      <c r="I96" s="545">
        <f t="shared" si="11"/>
        <v>652</v>
      </c>
      <c r="J96" s="458" t="s">
        <v>61</v>
      </c>
      <c r="K96" s="773" t="s">
        <v>888</v>
      </c>
      <c r="L96" s="819">
        <v>1</v>
      </c>
      <c r="M96" s="827">
        <v>1</v>
      </c>
      <c r="N96" s="821">
        <v>652</v>
      </c>
      <c r="O96" s="822">
        <v>1</v>
      </c>
      <c r="P96" s="822" t="s">
        <v>590</v>
      </c>
      <c r="Q96" s="821"/>
      <c r="R96" s="823">
        <f t="shared" si="12"/>
        <v>652</v>
      </c>
    </row>
    <row r="97" spans="1:18" ht="106.5" customHeight="1" x14ac:dyDescent="0.3">
      <c r="A97" s="224"/>
      <c r="B97" s="204"/>
      <c r="C97" s="454" t="s">
        <v>977</v>
      </c>
      <c r="D97" s="455" t="s">
        <v>655</v>
      </c>
      <c r="E97" s="550"/>
      <c r="F97" s="457"/>
      <c r="G97" s="580"/>
      <c r="H97" s="457">
        <f>63000</f>
        <v>63000</v>
      </c>
      <c r="I97" s="626">
        <f>SUM(E97:H97)</f>
        <v>63000</v>
      </c>
      <c r="J97" s="356" t="s">
        <v>58</v>
      </c>
      <c r="K97" s="645" t="s">
        <v>872</v>
      </c>
      <c r="L97" s="819">
        <v>2</v>
      </c>
      <c r="M97" s="820">
        <v>30</v>
      </c>
      <c r="N97" s="821">
        <v>170</v>
      </c>
      <c r="O97" s="822">
        <v>6</v>
      </c>
      <c r="P97" s="822" t="s">
        <v>581</v>
      </c>
      <c r="Q97" s="821">
        <f>1800</f>
        <v>1800</v>
      </c>
      <c r="R97" s="828">
        <f>(L97*M97*N97*O97)+Q97</f>
        <v>63000</v>
      </c>
    </row>
    <row r="98" spans="1:18" ht="93.75" customHeight="1" x14ac:dyDescent="0.3">
      <c r="A98" s="224"/>
      <c r="B98" s="63"/>
      <c r="C98" s="301" t="s">
        <v>1129</v>
      </c>
      <c r="D98" s="455" t="s">
        <v>463</v>
      </c>
      <c r="E98" s="550">
        <v>0</v>
      </c>
      <c r="F98" s="457">
        <v>0</v>
      </c>
      <c r="G98" s="580"/>
      <c r="H98" s="457"/>
      <c r="I98" s="545">
        <f t="shared" si="11"/>
        <v>0</v>
      </c>
      <c r="J98" s="458" t="s">
        <v>58</v>
      </c>
      <c r="K98" s="771" t="s">
        <v>894</v>
      </c>
      <c r="L98" s="819">
        <v>1</v>
      </c>
      <c r="M98" s="827"/>
      <c r="N98" s="821"/>
      <c r="O98" s="822">
        <v>5</v>
      </c>
      <c r="P98" s="822" t="s">
        <v>581</v>
      </c>
      <c r="Q98" s="821"/>
      <c r="R98" s="823">
        <f t="shared" si="12"/>
        <v>0</v>
      </c>
    </row>
    <row r="99" spans="1:18" ht="96.75" customHeight="1" x14ac:dyDescent="0.3">
      <c r="A99" s="224"/>
      <c r="B99" s="63"/>
      <c r="C99" s="301" t="s">
        <v>93</v>
      </c>
      <c r="D99" s="455" t="s">
        <v>788</v>
      </c>
      <c r="E99" s="550">
        <f>10106</f>
        <v>10106</v>
      </c>
      <c r="F99" s="457">
        <f>7532</f>
        <v>7532</v>
      </c>
      <c r="G99" s="580"/>
      <c r="H99" s="457"/>
      <c r="I99" s="545">
        <f t="shared" si="11"/>
        <v>17638</v>
      </c>
      <c r="J99" s="458" t="s">
        <v>58</v>
      </c>
      <c r="K99" s="773" t="s">
        <v>1044</v>
      </c>
      <c r="L99" s="819">
        <v>1</v>
      </c>
      <c r="M99" s="827">
        <v>250</v>
      </c>
      <c r="N99" s="821">
        <v>30</v>
      </c>
      <c r="O99" s="822">
        <v>2</v>
      </c>
      <c r="P99" s="822" t="s">
        <v>590</v>
      </c>
      <c r="Q99" s="821">
        <f>I99-15000</f>
        <v>2638</v>
      </c>
      <c r="R99" s="823">
        <f t="shared" si="12"/>
        <v>17638</v>
      </c>
    </row>
    <row r="100" spans="1:18" ht="129.75" customHeight="1" x14ac:dyDescent="0.3">
      <c r="A100" s="224"/>
      <c r="B100" s="63"/>
      <c r="C100" s="301" t="s">
        <v>464</v>
      </c>
      <c r="D100" s="455" t="s">
        <v>465</v>
      </c>
      <c r="E100" s="550">
        <v>25540</v>
      </c>
      <c r="F100" s="457"/>
      <c r="G100" s="457">
        <v>46780</v>
      </c>
      <c r="H100" s="457"/>
      <c r="I100" s="545">
        <f t="shared" si="11"/>
        <v>72320</v>
      </c>
      <c r="J100" s="458" t="s">
        <v>58</v>
      </c>
      <c r="K100" s="773" t="s">
        <v>1045</v>
      </c>
      <c r="L100" s="819">
        <v>2</v>
      </c>
      <c r="M100" s="827">
        <v>55</v>
      </c>
      <c r="N100" s="821">
        <v>195</v>
      </c>
      <c r="O100" s="822">
        <v>3</v>
      </c>
      <c r="P100" s="822" t="s">
        <v>581</v>
      </c>
      <c r="Q100" s="821">
        <v>7970</v>
      </c>
      <c r="R100" s="823">
        <f t="shared" si="12"/>
        <v>72320</v>
      </c>
    </row>
    <row r="101" spans="1:18" ht="126" customHeight="1" x14ac:dyDescent="0.3">
      <c r="A101" s="224"/>
      <c r="B101" s="63"/>
      <c r="C101" s="301" t="s">
        <v>94</v>
      </c>
      <c r="D101" s="455" t="s">
        <v>332</v>
      </c>
      <c r="E101" s="550"/>
      <c r="F101" s="457"/>
      <c r="G101" s="457">
        <f>9704</f>
        <v>9704</v>
      </c>
      <c r="H101" s="457">
        <f>11200</f>
        <v>11200</v>
      </c>
      <c r="I101" s="457">
        <f t="shared" si="11"/>
        <v>20904</v>
      </c>
      <c r="J101" s="457" t="s">
        <v>61</v>
      </c>
      <c r="K101" s="457" t="s">
        <v>1046</v>
      </c>
      <c r="L101" s="1349">
        <v>2</v>
      </c>
      <c r="M101" s="827">
        <v>250</v>
      </c>
      <c r="N101" s="821">
        <v>40</v>
      </c>
      <c r="O101" s="822">
        <v>1</v>
      </c>
      <c r="P101" s="822" t="s">
        <v>581</v>
      </c>
      <c r="Q101" s="821">
        <f>904</f>
        <v>904</v>
      </c>
      <c r="R101" s="823">
        <f t="shared" si="12"/>
        <v>20904</v>
      </c>
    </row>
    <row r="102" spans="1:18" ht="101.25" customHeight="1" x14ac:dyDescent="0.3">
      <c r="A102" s="224"/>
      <c r="B102" s="63"/>
      <c r="C102" s="302" t="s">
        <v>1027</v>
      </c>
      <c r="D102" s="484" t="s">
        <v>593</v>
      </c>
      <c r="E102" s="576"/>
      <c r="F102" s="552">
        <f>10540</f>
        <v>10540</v>
      </c>
      <c r="G102" s="457">
        <v>10200</v>
      </c>
      <c r="H102" s="457"/>
      <c r="I102" s="457">
        <f t="shared" si="11"/>
        <v>20740</v>
      </c>
      <c r="J102" s="457" t="s">
        <v>61</v>
      </c>
      <c r="K102" s="457" t="s">
        <v>766</v>
      </c>
      <c r="L102" s="819">
        <v>2</v>
      </c>
      <c r="M102" s="827">
        <v>19</v>
      </c>
      <c r="N102" s="821">
        <v>400</v>
      </c>
      <c r="O102" s="822">
        <v>1</v>
      </c>
      <c r="P102" s="822" t="s">
        <v>581</v>
      </c>
      <c r="Q102" s="821">
        <v>5540</v>
      </c>
      <c r="R102" s="823">
        <f t="shared" si="12"/>
        <v>20740</v>
      </c>
    </row>
    <row r="103" spans="1:18" ht="69" customHeight="1" x14ac:dyDescent="0.3">
      <c r="A103" s="224"/>
      <c r="B103" s="204"/>
      <c r="C103" s="446" t="s">
        <v>660</v>
      </c>
      <c r="D103" s="455" t="s">
        <v>656</v>
      </c>
      <c r="E103" s="550"/>
      <c r="F103" s="457"/>
      <c r="G103" s="457">
        <v>0</v>
      </c>
      <c r="H103" s="457">
        <v>0</v>
      </c>
      <c r="I103" s="457">
        <f t="shared" si="11"/>
        <v>0</v>
      </c>
      <c r="J103" s="457" t="s">
        <v>58</v>
      </c>
      <c r="K103" s="457" t="s">
        <v>917</v>
      </c>
      <c r="L103" s="819"/>
      <c r="M103" s="820"/>
      <c r="N103" s="821"/>
      <c r="O103" s="822">
        <v>5</v>
      </c>
      <c r="P103" s="822" t="s">
        <v>581</v>
      </c>
      <c r="Q103" s="821"/>
      <c r="R103" s="828">
        <f>(L103*M103*N103*O103)+Q103</f>
        <v>0</v>
      </c>
    </row>
    <row r="104" spans="1:18" ht="76.5" customHeight="1" x14ac:dyDescent="0.3">
      <c r="A104" s="224"/>
      <c r="B104" s="204"/>
      <c r="C104" s="446" t="s">
        <v>1130</v>
      </c>
      <c r="D104" s="455" t="s">
        <v>658</v>
      </c>
      <c r="E104" s="550"/>
      <c r="F104" s="457"/>
      <c r="G104" s="580"/>
      <c r="H104" s="457">
        <v>5000</v>
      </c>
      <c r="I104" s="562">
        <f t="shared" si="11"/>
        <v>5000</v>
      </c>
      <c r="J104" s="456" t="s">
        <v>58</v>
      </c>
      <c r="K104" s="771" t="s">
        <v>659</v>
      </c>
      <c r="L104" s="819">
        <v>1</v>
      </c>
      <c r="M104" s="820">
        <v>1</v>
      </c>
      <c r="N104" s="821">
        <v>500</v>
      </c>
      <c r="O104" s="822">
        <v>10</v>
      </c>
      <c r="P104" s="822" t="s">
        <v>581</v>
      </c>
      <c r="Q104" s="821"/>
      <c r="R104" s="828">
        <f t="shared" ref="R104:R107" si="13">(L104*M104*N104*O104)+Q104</f>
        <v>5000</v>
      </c>
    </row>
    <row r="105" spans="1:18" ht="111" customHeight="1" x14ac:dyDescent="0.3">
      <c r="A105" s="224"/>
      <c r="B105" s="204"/>
      <c r="C105" s="446" t="s">
        <v>666</v>
      </c>
      <c r="D105" s="455" t="s">
        <v>661</v>
      </c>
      <c r="E105" s="550"/>
      <c r="F105" s="457"/>
      <c r="G105" s="580"/>
      <c r="H105" s="457">
        <v>4000</v>
      </c>
      <c r="I105" s="562">
        <f t="shared" si="11"/>
        <v>4000</v>
      </c>
      <c r="J105" s="456" t="s">
        <v>58</v>
      </c>
      <c r="K105" s="771" t="s">
        <v>662</v>
      </c>
      <c r="L105" s="819">
        <v>1</v>
      </c>
      <c r="M105" s="820">
        <v>400</v>
      </c>
      <c r="N105" s="821">
        <v>10</v>
      </c>
      <c r="O105" s="822">
        <v>1</v>
      </c>
      <c r="P105" s="822" t="s">
        <v>581</v>
      </c>
      <c r="Q105" s="821"/>
      <c r="R105" s="828">
        <f t="shared" si="13"/>
        <v>4000</v>
      </c>
    </row>
    <row r="106" spans="1:18" ht="53.25" customHeight="1" x14ac:dyDescent="0.3">
      <c r="A106" s="224"/>
      <c r="B106" s="204"/>
      <c r="C106" s="446" t="s">
        <v>1028</v>
      </c>
      <c r="D106" s="455" t="s">
        <v>664</v>
      </c>
      <c r="E106" s="550"/>
      <c r="F106" s="457"/>
      <c r="G106" s="580"/>
      <c r="H106" s="457"/>
      <c r="I106" s="562">
        <f t="shared" si="11"/>
        <v>0</v>
      </c>
      <c r="J106" s="456" t="s">
        <v>58</v>
      </c>
      <c r="K106" s="771" t="s">
        <v>665</v>
      </c>
      <c r="L106" s="819"/>
      <c r="M106" s="820"/>
      <c r="N106" s="821"/>
      <c r="O106" s="822"/>
      <c r="P106" s="822"/>
      <c r="Q106" s="821"/>
      <c r="R106" s="828">
        <f t="shared" si="13"/>
        <v>0</v>
      </c>
    </row>
    <row r="107" spans="1:18" ht="52.5" customHeight="1" thickBot="1" x14ac:dyDescent="0.35">
      <c r="A107" s="224"/>
      <c r="B107" s="204"/>
      <c r="C107" s="446" t="s">
        <v>1131</v>
      </c>
      <c r="D107" s="455" t="s">
        <v>667</v>
      </c>
      <c r="E107" s="550"/>
      <c r="F107" s="457"/>
      <c r="G107" s="457"/>
      <c r="H107" s="457"/>
      <c r="I107" s="562">
        <f t="shared" si="11"/>
        <v>0</v>
      </c>
      <c r="J107" s="456" t="s">
        <v>58</v>
      </c>
      <c r="K107" s="771" t="s">
        <v>665</v>
      </c>
      <c r="L107" s="819"/>
      <c r="M107" s="820"/>
      <c r="N107" s="821"/>
      <c r="O107" s="822"/>
      <c r="P107" s="822"/>
      <c r="Q107" s="821"/>
      <c r="R107" s="828">
        <f t="shared" si="13"/>
        <v>0</v>
      </c>
    </row>
    <row r="108" spans="1:18" ht="30.75" customHeight="1" thickBot="1" x14ac:dyDescent="0.35">
      <c r="A108" s="284"/>
      <c r="B108" s="303" t="s">
        <v>45</v>
      </c>
      <c r="C108" s="304"/>
      <c r="D108" s="485"/>
      <c r="E108" s="581">
        <f t="shared" ref="E108:R108" si="14">SUM(E93:E107)</f>
        <v>134731</v>
      </c>
      <c r="F108" s="581">
        <f t="shared" si="14"/>
        <v>225891</v>
      </c>
      <c r="G108" s="581">
        <f t="shared" si="14"/>
        <v>120172</v>
      </c>
      <c r="H108" s="581">
        <f t="shared" si="14"/>
        <v>85200</v>
      </c>
      <c r="I108" s="581">
        <f t="shared" si="14"/>
        <v>565994</v>
      </c>
      <c r="J108" s="581">
        <f t="shared" si="14"/>
        <v>0</v>
      </c>
      <c r="K108" s="783">
        <f t="shared" si="14"/>
        <v>0</v>
      </c>
      <c r="L108" s="844">
        <f t="shared" si="14"/>
        <v>30</v>
      </c>
      <c r="M108" s="845">
        <f t="shared" si="14"/>
        <v>1263</v>
      </c>
      <c r="N108" s="845">
        <f t="shared" si="14"/>
        <v>2367</v>
      </c>
      <c r="O108" s="845">
        <f t="shared" si="14"/>
        <v>44</v>
      </c>
      <c r="P108" s="845">
        <f t="shared" si="14"/>
        <v>0</v>
      </c>
      <c r="Q108" s="845">
        <f t="shared" si="14"/>
        <v>62372</v>
      </c>
      <c r="R108" s="846">
        <f t="shared" si="14"/>
        <v>565994</v>
      </c>
    </row>
    <row r="109" spans="1:18" ht="80.25" customHeight="1" x14ac:dyDescent="0.3">
      <c r="A109" s="305">
        <v>2.2000000000000002</v>
      </c>
      <c r="B109" s="2658" t="s">
        <v>97</v>
      </c>
      <c r="C109" s="2659"/>
      <c r="D109" s="486"/>
      <c r="E109" s="582"/>
      <c r="F109" s="547"/>
      <c r="G109" s="547"/>
      <c r="H109" s="547"/>
      <c r="I109" s="562"/>
      <c r="J109" s="274"/>
      <c r="K109" s="770"/>
      <c r="L109" s="819"/>
      <c r="M109" s="827"/>
      <c r="N109" s="821"/>
      <c r="O109" s="822"/>
      <c r="P109" s="822"/>
      <c r="Q109" s="821"/>
      <c r="R109" s="823"/>
    </row>
    <row r="110" spans="1:18" ht="28.5" customHeight="1" x14ac:dyDescent="0.3">
      <c r="A110" s="224"/>
      <c r="B110" s="2656" t="s">
        <v>376</v>
      </c>
      <c r="C110" s="2657"/>
      <c r="D110" s="2648"/>
      <c r="E110" s="583"/>
      <c r="F110" s="584"/>
      <c r="G110" s="584"/>
      <c r="H110" s="584"/>
      <c r="I110" s="585"/>
      <c r="J110" s="306"/>
      <c r="K110" s="432"/>
      <c r="L110" s="819"/>
      <c r="M110" s="827"/>
      <c r="N110" s="821"/>
      <c r="O110" s="822"/>
      <c r="P110" s="822"/>
      <c r="Q110" s="821"/>
      <c r="R110" s="823"/>
    </row>
    <row r="111" spans="1:18" ht="111.75" customHeight="1" x14ac:dyDescent="0.3">
      <c r="A111" s="224"/>
      <c r="B111" s="2660" t="s">
        <v>377</v>
      </c>
      <c r="C111" s="2661"/>
      <c r="D111" s="2661"/>
      <c r="E111" s="2480"/>
      <c r="F111" s="1297"/>
      <c r="G111" s="1297"/>
      <c r="H111" s="1297"/>
      <c r="I111" s="2481"/>
      <c r="J111" s="2482"/>
      <c r="K111" s="2483"/>
      <c r="L111" s="819"/>
      <c r="M111" s="827"/>
      <c r="N111" s="821"/>
      <c r="O111" s="822"/>
      <c r="P111" s="822"/>
      <c r="Q111" s="821"/>
      <c r="R111" s="823"/>
    </row>
    <row r="112" spans="1:18" ht="108.75" customHeight="1" x14ac:dyDescent="0.3">
      <c r="A112" s="224"/>
      <c r="B112" s="133"/>
      <c r="C112" s="2474" t="s">
        <v>98</v>
      </c>
      <c r="D112" s="2475" t="s">
        <v>99</v>
      </c>
      <c r="E112" s="2476"/>
      <c r="F112" s="2477"/>
      <c r="G112" s="2376">
        <f>2900</f>
        <v>2900</v>
      </c>
      <c r="H112" s="2376"/>
      <c r="I112" s="213">
        <f t="shared" ref="I112:I116" si="15">SUM(E112:H112)</f>
        <v>2900</v>
      </c>
      <c r="J112" s="2478" t="s">
        <v>733</v>
      </c>
      <c r="K112" s="2479" t="s">
        <v>1047</v>
      </c>
      <c r="L112" s="819">
        <v>2</v>
      </c>
      <c r="M112" s="827">
        <v>40</v>
      </c>
      <c r="N112" s="821">
        <v>30</v>
      </c>
      <c r="O112" s="822">
        <v>1</v>
      </c>
      <c r="P112" s="822" t="s">
        <v>581</v>
      </c>
      <c r="Q112" s="821">
        <f>500</f>
        <v>500</v>
      </c>
      <c r="R112" s="823">
        <f t="shared" ref="R112:R118" si="16">(L112*M112*N112*O112)+Q112</f>
        <v>2900</v>
      </c>
    </row>
    <row r="113" spans="1:19" ht="109.5" customHeight="1" x14ac:dyDescent="0.3">
      <c r="A113" s="224"/>
      <c r="B113" s="133"/>
      <c r="C113" s="309" t="s">
        <v>101</v>
      </c>
      <c r="D113" s="278" t="s">
        <v>547</v>
      </c>
      <c r="E113" s="563">
        <v>35700</v>
      </c>
      <c r="F113" s="564">
        <v>7400</v>
      </c>
      <c r="G113" s="564">
        <v>6450</v>
      </c>
      <c r="H113" s="564"/>
      <c r="I113" s="545">
        <f t="shared" si="15"/>
        <v>49550</v>
      </c>
      <c r="J113" s="279" t="s">
        <v>61</v>
      </c>
      <c r="K113" s="772" t="s">
        <v>1048</v>
      </c>
      <c r="L113" s="819">
        <v>2</v>
      </c>
      <c r="M113" s="827">
        <v>60</v>
      </c>
      <c r="N113" s="821">
        <v>120</v>
      </c>
      <c r="O113" s="822">
        <v>3</v>
      </c>
      <c r="P113" s="822" t="s">
        <v>581</v>
      </c>
      <c r="Q113" s="822">
        <f>6350</f>
        <v>6350</v>
      </c>
      <c r="R113" s="823">
        <f t="shared" si="16"/>
        <v>49550</v>
      </c>
    </row>
    <row r="114" spans="1:19" ht="129" customHeight="1" x14ac:dyDescent="0.3">
      <c r="A114" s="224"/>
      <c r="B114" s="133"/>
      <c r="C114" s="309" t="s">
        <v>102</v>
      </c>
      <c r="D114" s="278" t="s">
        <v>467</v>
      </c>
      <c r="E114" s="567">
        <v>126720</v>
      </c>
      <c r="F114" s="568">
        <v>46500</v>
      </c>
      <c r="G114" s="568">
        <f>36200</f>
        <v>36200</v>
      </c>
      <c r="H114" s="568"/>
      <c r="I114" s="545">
        <f t="shared" si="15"/>
        <v>209420</v>
      </c>
      <c r="J114" s="279" t="s">
        <v>732</v>
      </c>
      <c r="K114" s="772" t="s">
        <v>918</v>
      </c>
      <c r="L114" s="819">
        <v>10</v>
      </c>
      <c r="M114" s="827">
        <v>35</v>
      </c>
      <c r="N114" s="821">
        <v>185</v>
      </c>
      <c r="O114" s="822">
        <v>3</v>
      </c>
      <c r="P114" s="822" t="s">
        <v>581</v>
      </c>
      <c r="Q114" s="821">
        <f>(400*3*10)+3170</f>
        <v>15170</v>
      </c>
      <c r="R114" s="823">
        <f t="shared" si="16"/>
        <v>209420</v>
      </c>
    </row>
    <row r="115" spans="1:19" ht="71.25" customHeight="1" x14ac:dyDescent="0.3">
      <c r="A115" s="224"/>
      <c r="B115" s="133"/>
      <c r="C115" s="309" t="s">
        <v>468</v>
      </c>
      <c r="D115" s="278" t="s">
        <v>469</v>
      </c>
      <c r="E115" s="563"/>
      <c r="F115" s="564"/>
      <c r="G115" s="564"/>
      <c r="H115" s="564">
        <f>3400</f>
        <v>3400</v>
      </c>
      <c r="I115" s="545">
        <f t="shared" si="15"/>
        <v>3400</v>
      </c>
      <c r="J115" s="279" t="s">
        <v>58</v>
      </c>
      <c r="K115" s="645" t="s">
        <v>728</v>
      </c>
      <c r="L115" s="819">
        <v>1</v>
      </c>
      <c r="M115" s="820">
        <v>100</v>
      </c>
      <c r="N115" s="821">
        <v>30</v>
      </c>
      <c r="O115" s="822">
        <v>1</v>
      </c>
      <c r="P115" s="822" t="s">
        <v>581</v>
      </c>
      <c r="Q115" s="821">
        <v>400</v>
      </c>
      <c r="R115" s="847">
        <f t="shared" si="16"/>
        <v>3400</v>
      </c>
    </row>
    <row r="116" spans="1:19" ht="74.25" customHeight="1" x14ac:dyDescent="0.3">
      <c r="A116" s="224"/>
      <c r="B116" s="133"/>
      <c r="C116" s="309" t="s">
        <v>470</v>
      </c>
      <c r="D116" s="278" t="s">
        <v>595</v>
      </c>
      <c r="E116" s="563">
        <v>0</v>
      </c>
      <c r="F116" s="564">
        <v>47985</v>
      </c>
      <c r="G116" s="564"/>
      <c r="H116" s="564"/>
      <c r="I116" s="551">
        <f t="shared" si="15"/>
        <v>47985</v>
      </c>
      <c r="J116" s="279" t="s">
        <v>58</v>
      </c>
      <c r="K116" s="645" t="s">
        <v>596</v>
      </c>
      <c r="L116" s="819">
        <v>2</v>
      </c>
      <c r="M116" s="848">
        <v>11</v>
      </c>
      <c r="N116" s="848">
        <v>250</v>
      </c>
      <c r="O116" s="848">
        <v>7</v>
      </c>
      <c r="P116" s="848" t="s">
        <v>579</v>
      </c>
      <c r="Q116" s="848">
        <f>9485</f>
        <v>9485</v>
      </c>
      <c r="R116" s="849">
        <f t="shared" si="16"/>
        <v>47985</v>
      </c>
      <c r="S116" s="81"/>
    </row>
    <row r="117" spans="1:19" ht="67.5" customHeight="1" x14ac:dyDescent="0.3">
      <c r="A117" s="224"/>
      <c r="B117" s="133"/>
      <c r="C117" s="310" t="s">
        <v>919</v>
      </c>
      <c r="D117" s="225" t="s">
        <v>668</v>
      </c>
      <c r="E117" s="214"/>
      <c r="F117" s="203"/>
      <c r="G117" s="564">
        <f>1080</f>
        <v>1080</v>
      </c>
      <c r="H117" s="564">
        <v>4200</v>
      </c>
      <c r="I117" s="562">
        <f>SUM(E117:H117)</f>
        <v>5280</v>
      </c>
      <c r="J117" s="522" t="s">
        <v>58</v>
      </c>
      <c r="K117" s="784" t="s">
        <v>893</v>
      </c>
      <c r="L117" s="819">
        <v>2</v>
      </c>
      <c r="M117" s="820">
        <v>44</v>
      </c>
      <c r="N117" s="821">
        <v>30</v>
      </c>
      <c r="O117" s="822">
        <v>2</v>
      </c>
      <c r="P117" s="822" t="s">
        <v>579</v>
      </c>
      <c r="Q117" s="821">
        <v>0</v>
      </c>
      <c r="R117" s="828">
        <f t="shared" si="16"/>
        <v>5280</v>
      </c>
      <c r="S117" s="81"/>
    </row>
    <row r="118" spans="1:19" ht="111" customHeight="1" x14ac:dyDescent="0.3">
      <c r="A118" s="224"/>
      <c r="B118" s="133"/>
      <c r="C118" s="998" t="s">
        <v>1132</v>
      </c>
      <c r="D118" s="1350" t="s">
        <v>902</v>
      </c>
      <c r="E118" s="1351"/>
      <c r="F118" s="1352"/>
      <c r="G118" s="1000"/>
      <c r="H118" s="1000">
        <f>60400</f>
        <v>60400</v>
      </c>
      <c r="I118" s="1353">
        <f>SUM(E118:H118)</f>
        <v>60400</v>
      </c>
      <c r="J118" s="1354" t="s">
        <v>580</v>
      </c>
      <c r="K118" s="1355" t="s">
        <v>892</v>
      </c>
      <c r="L118" s="819">
        <v>1</v>
      </c>
      <c r="M118" s="820">
        <v>370</v>
      </c>
      <c r="N118" s="821">
        <v>30</v>
      </c>
      <c r="O118" s="822">
        <v>4</v>
      </c>
      <c r="P118" s="822" t="s">
        <v>581</v>
      </c>
      <c r="Q118" s="840">
        <f>(500*4*5)+6000</f>
        <v>16000</v>
      </c>
      <c r="R118" s="828">
        <f t="shared" si="16"/>
        <v>60400</v>
      </c>
      <c r="S118" s="81"/>
    </row>
    <row r="119" spans="1:19" ht="87" customHeight="1" x14ac:dyDescent="0.3">
      <c r="A119" s="224"/>
      <c r="B119" s="133"/>
      <c r="C119" s="1359" t="s">
        <v>912</v>
      </c>
      <c r="D119" s="1360" t="s">
        <v>913</v>
      </c>
      <c r="E119" s="1361"/>
      <c r="F119" s="1362"/>
      <c r="G119" s="1362">
        <v>3510</v>
      </c>
      <c r="H119" s="1362"/>
      <c r="I119" s="1363">
        <f>SUM(E119:H119)</f>
        <v>3510</v>
      </c>
      <c r="J119" s="1361" t="s">
        <v>58</v>
      </c>
      <c r="K119" s="1364" t="s">
        <v>1049</v>
      </c>
      <c r="L119" s="819">
        <v>1</v>
      </c>
      <c r="M119" s="820">
        <v>300</v>
      </c>
      <c r="N119" s="821">
        <v>11.7</v>
      </c>
      <c r="O119" s="822">
        <v>1</v>
      </c>
      <c r="P119" s="822" t="s">
        <v>581</v>
      </c>
      <c r="Q119" s="840"/>
      <c r="R119" s="828">
        <f t="shared" ref="R119" si="17">(L119*M119*N119*O119)+Q119</f>
        <v>3510</v>
      </c>
      <c r="S119" s="81"/>
    </row>
    <row r="120" spans="1:19" ht="45.75" customHeight="1" thickBot="1" x14ac:dyDescent="0.35">
      <c r="A120" s="224"/>
      <c r="B120" s="68"/>
      <c r="C120" s="998"/>
      <c r="D120" s="999"/>
      <c r="E120" s="1000"/>
      <c r="F120" s="1000"/>
      <c r="G120" s="1000"/>
      <c r="H120" s="1000"/>
      <c r="I120" s="1356"/>
      <c r="J120" s="1357"/>
      <c r="K120" s="1358"/>
      <c r="L120" s="819"/>
      <c r="M120" s="820"/>
      <c r="N120" s="821"/>
      <c r="O120" s="822"/>
      <c r="P120" s="822"/>
      <c r="Q120" s="840"/>
      <c r="R120" s="828"/>
    </row>
    <row r="121" spans="1:19" ht="42" customHeight="1" thickBot="1" x14ac:dyDescent="0.35">
      <c r="A121" s="224"/>
      <c r="B121" s="311" t="s">
        <v>45</v>
      </c>
      <c r="C121" s="312"/>
      <c r="D121" s="487"/>
      <c r="E121" s="586">
        <f>SUM(E112:E120)</f>
        <v>162420</v>
      </c>
      <c r="F121" s="586">
        <f t="shared" ref="F121:I121" si="18">SUM(F112:F120)</f>
        <v>101885</v>
      </c>
      <c r="G121" s="586">
        <f t="shared" si="18"/>
        <v>50140</v>
      </c>
      <c r="H121" s="586">
        <f t="shared" si="18"/>
        <v>68000</v>
      </c>
      <c r="I121" s="586">
        <f t="shared" si="18"/>
        <v>382445</v>
      </c>
      <c r="J121" s="523">
        <f>SUM(J112:J114)</f>
        <v>0</v>
      </c>
      <c r="K121" s="786">
        <f>SUM(K112:K114)</f>
        <v>0</v>
      </c>
      <c r="L121" s="850"/>
      <c r="M121" s="851"/>
      <c r="N121" s="845"/>
      <c r="O121" s="845"/>
      <c r="P121" s="845"/>
      <c r="Q121" s="845"/>
      <c r="R121" s="846">
        <f>SUM(R112:R120)</f>
        <v>382445</v>
      </c>
    </row>
    <row r="122" spans="1:19" ht="20.25" x14ac:dyDescent="0.3">
      <c r="A122" s="224"/>
      <c r="B122" s="313"/>
      <c r="C122" s="314"/>
      <c r="D122" s="488"/>
      <c r="E122" s="587"/>
      <c r="F122" s="588"/>
      <c r="G122" s="588"/>
      <c r="H122" s="588"/>
      <c r="I122" s="589"/>
      <c r="J122" s="524"/>
      <c r="K122" s="787"/>
      <c r="L122" s="850"/>
      <c r="M122" s="851"/>
      <c r="N122" s="845"/>
      <c r="O122" s="845"/>
      <c r="P122" s="845"/>
      <c r="Q122" s="845"/>
      <c r="R122" s="846"/>
    </row>
    <row r="123" spans="1:19" ht="82.5" customHeight="1" x14ac:dyDescent="0.3">
      <c r="A123" s="305">
        <v>2.2999999999999998</v>
      </c>
      <c r="B123" s="2662" t="s">
        <v>103</v>
      </c>
      <c r="C123" s="2663"/>
      <c r="D123" s="489"/>
      <c r="E123" s="590"/>
      <c r="F123" s="591"/>
      <c r="G123" s="591"/>
      <c r="H123" s="591"/>
      <c r="I123" s="592"/>
      <c r="J123" s="525"/>
      <c r="K123" s="788"/>
      <c r="L123" s="819"/>
      <c r="M123" s="852"/>
      <c r="N123" s="821"/>
      <c r="O123" s="853"/>
      <c r="P123" s="853"/>
      <c r="Q123" s="821"/>
      <c r="R123" s="823"/>
    </row>
    <row r="124" spans="1:19" ht="49.5" customHeight="1" x14ac:dyDescent="0.3">
      <c r="A124" s="305"/>
      <c r="B124" s="2664" t="s">
        <v>378</v>
      </c>
      <c r="C124" s="2665"/>
      <c r="D124" s="2648"/>
      <c r="E124" s="571"/>
      <c r="F124" s="572"/>
      <c r="G124" s="572"/>
      <c r="H124" s="572"/>
      <c r="I124" s="573"/>
      <c r="J124" s="289"/>
      <c r="K124" s="776"/>
      <c r="L124" s="843"/>
      <c r="M124" s="827"/>
      <c r="N124" s="821"/>
      <c r="O124" s="822"/>
      <c r="P124" s="822"/>
      <c r="Q124" s="821"/>
      <c r="R124" s="823"/>
    </row>
    <row r="125" spans="1:19" ht="109.5" customHeight="1" x14ac:dyDescent="0.3">
      <c r="A125" s="305"/>
      <c r="B125" s="315" t="s">
        <v>379</v>
      </c>
      <c r="C125" s="316"/>
      <c r="D125" s="490"/>
      <c r="E125" s="571"/>
      <c r="F125" s="572"/>
      <c r="G125" s="572"/>
      <c r="H125" s="572"/>
      <c r="I125" s="573"/>
      <c r="J125" s="289"/>
      <c r="K125" s="776"/>
      <c r="L125" s="843"/>
      <c r="M125" s="827"/>
      <c r="N125" s="821"/>
      <c r="O125" s="822"/>
      <c r="P125" s="822"/>
      <c r="Q125" s="821"/>
      <c r="R125" s="823"/>
    </row>
    <row r="126" spans="1:19" ht="97.5" customHeight="1" x14ac:dyDescent="0.3">
      <c r="A126" s="305"/>
      <c r="B126" s="200" t="s">
        <v>380</v>
      </c>
      <c r="C126" s="317"/>
      <c r="D126" s="491"/>
      <c r="E126" s="571"/>
      <c r="F126" s="572"/>
      <c r="G126" s="572"/>
      <c r="H126" s="572"/>
      <c r="I126" s="573"/>
      <c r="J126" s="289"/>
      <c r="K126" s="776"/>
      <c r="L126" s="819"/>
      <c r="M126" s="827"/>
      <c r="N126" s="821"/>
      <c r="O126" s="822"/>
      <c r="P126" s="822"/>
      <c r="Q126" s="821"/>
      <c r="R126" s="823"/>
    </row>
    <row r="127" spans="1:19" ht="96" customHeight="1" x14ac:dyDescent="0.3">
      <c r="A127" s="224"/>
      <c r="B127" s="63"/>
      <c r="C127" s="318" t="s">
        <v>107</v>
      </c>
      <c r="D127" s="455" t="s">
        <v>471</v>
      </c>
      <c r="E127" s="550"/>
      <c r="F127" s="457"/>
      <c r="G127" s="457">
        <f>5750</f>
        <v>5750</v>
      </c>
      <c r="H127" s="457"/>
      <c r="I127" s="551">
        <f t="shared" ref="I127" si="19">SUM(E127:H127)</f>
        <v>5750</v>
      </c>
      <c r="J127" s="458" t="s">
        <v>61</v>
      </c>
      <c r="K127" s="785" t="s">
        <v>1050</v>
      </c>
      <c r="L127" s="843">
        <v>1</v>
      </c>
      <c r="M127" s="827">
        <v>200</v>
      </c>
      <c r="N127" s="821">
        <v>25</v>
      </c>
      <c r="O127" s="822">
        <v>1</v>
      </c>
      <c r="P127" s="822" t="s">
        <v>581</v>
      </c>
      <c r="Q127" s="821">
        <f>750</f>
        <v>750</v>
      </c>
      <c r="R127" s="823">
        <f>(L127*M127*N127*O127)+Q127</f>
        <v>5750</v>
      </c>
    </row>
    <row r="128" spans="1:19" ht="33" customHeight="1" thickBot="1" x14ac:dyDescent="0.35">
      <c r="A128" s="224"/>
      <c r="B128" s="319"/>
      <c r="C128" s="290"/>
      <c r="D128" s="278"/>
      <c r="E128" s="563"/>
      <c r="F128" s="564"/>
      <c r="G128" s="564"/>
      <c r="H128" s="564"/>
      <c r="I128" s="593"/>
      <c r="J128" s="279"/>
      <c r="K128" s="772"/>
      <c r="L128" s="819"/>
      <c r="M128" s="827"/>
      <c r="N128" s="821"/>
      <c r="O128" s="822"/>
      <c r="P128" s="822"/>
      <c r="Q128" s="821"/>
      <c r="R128" s="847"/>
    </row>
    <row r="129" spans="1:20" ht="31.5" customHeight="1" thickBot="1" x14ac:dyDescent="0.35">
      <c r="A129" s="320"/>
      <c r="B129" s="321" t="s">
        <v>45</v>
      </c>
      <c r="C129" s="322"/>
      <c r="D129" s="492">
        <f>SUM(D128:D128)</f>
        <v>0</v>
      </c>
      <c r="E129" s="594">
        <f>SUM(E126:E128)</f>
        <v>0</v>
      </c>
      <c r="F129" s="594">
        <f t="shared" ref="F129:I129" si="20">SUM(F126:F128)</f>
        <v>0</v>
      </c>
      <c r="G129" s="594">
        <f t="shared" si="20"/>
        <v>5750</v>
      </c>
      <c r="H129" s="594">
        <f t="shared" si="20"/>
        <v>0</v>
      </c>
      <c r="I129" s="594">
        <f t="shared" si="20"/>
        <v>5750</v>
      </c>
      <c r="J129" s="523">
        <f t="shared" ref="J129:K129" si="21">SUM(J127:J128)</f>
        <v>0</v>
      </c>
      <c r="K129" s="786">
        <f t="shared" si="21"/>
        <v>0</v>
      </c>
      <c r="L129" s="850"/>
      <c r="M129" s="851"/>
      <c r="N129" s="845"/>
      <c r="O129" s="845"/>
      <c r="P129" s="845"/>
      <c r="Q129" s="845"/>
      <c r="R129" s="846">
        <f>SUM(R127:R128)</f>
        <v>5750</v>
      </c>
    </row>
    <row r="130" spans="1:20" ht="20.25" x14ac:dyDescent="0.3">
      <c r="A130" s="224"/>
      <c r="B130" s="296"/>
      <c r="C130" s="277"/>
      <c r="D130" s="278"/>
      <c r="E130" s="571"/>
      <c r="F130" s="572"/>
      <c r="G130" s="572"/>
      <c r="H130" s="572"/>
      <c r="I130" s="573"/>
      <c r="J130" s="289"/>
      <c r="K130" s="776"/>
      <c r="L130" s="819"/>
      <c r="M130" s="827"/>
      <c r="N130" s="821"/>
      <c r="O130" s="822"/>
      <c r="P130" s="822"/>
      <c r="Q130" s="821"/>
      <c r="R130" s="823"/>
    </row>
    <row r="131" spans="1:20" ht="73.5" customHeight="1" x14ac:dyDescent="0.3">
      <c r="A131" s="299">
        <v>2.4</v>
      </c>
      <c r="B131" s="2651" t="s">
        <v>111</v>
      </c>
      <c r="C131" s="2652"/>
      <c r="D131" s="455"/>
      <c r="E131" s="549"/>
      <c r="F131" s="461"/>
      <c r="G131" s="461"/>
      <c r="H131" s="461"/>
      <c r="I131" s="551"/>
      <c r="J131" s="519"/>
      <c r="K131" s="789"/>
      <c r="L131" s="819"/>
      <c r="M131" s="827"/>
      <c r="N131" s="821"/>
      <c r="O131" s="822"/>
      <c r="P131" s="822"/>
      <c r="Q131" s="821"/>
      <c r="R131" s="823"/>
    </row>
    <row r="132" spans="1:20" ht="36.75" customHeight="1" x14ac:dyDescent="0.3">
      <c r="A132" s="299"/>
      <c r="B132" s="2664" t="s">
        <v>382</v>
      </c>
      <c r="C132" s="2665"/>
      <c r="D132" s="2648"/>
      <c r="E132" s="576"/>
      <c r="F132" s="552"/>
      <c r="G132" s="552"/>
      <c r="H132" s="552"/>
      <c r="I132" s="577"/>
      <c r="J132" s="448" t="s">
        <v>112</v>
      </c>
      <c r="K132" s="790"/>
      <c r="L132" s="819"/>
      <c r="M132" s="827"/>
      <c r="N132" s="821"/>
      <c r="O132" s="822"/>
      <c r="P132" s="822"/>
      <c r="Q132" s="821"/>
      <c r="R132" s="823"/>
    </row>
    <row r="133" spans="1:20" ht="158.25" customHeight="1" x14ac:dyDescent="0.3">
      <c r="A133" s="299"/>
      <c r="B133" s="2634" t="s">
        <v>381</v>
      </c>
      <c r="C133" s="2641"/>
      <c r="D133" s="2641"/>
      <c r="E133" s="214"/>
      <c r="F133" s="203"/>
      <c r="G133" s="203"/>
      <c r="H133" s="203"/>
      <c r="I133" s="578"/>
      <c r="J133" s="448"/>
      <c r="K133" s="463"/>
      <c r="L133" s="854"/>
      <c r="M133" s="855"/>
      <c r="N133" s="856"/>
      <c r="O133" s="856"/>
      <c r="P133" s="856"/>
      <c r="Q133" s="856"/>
      <c r="R133" s="857"/>
    </row>
    <row r="134" spans="1:20" ht="134.25" customHeight="1" x14ac:dyDescent="0.3">
      <c r="A134" s="299"/>
      <c r="B134" s="2634" t="s">
        <v>383</v>
      </c>
      <c r="C134" s="2641"/>
      <c r="D134" s="2641"/>
      <c r="E134" s="214"/>
      <c r="F134" s="203"/>
      <c r="G134" s="203"/>
      <c r="H134" s="203"/>
      <c r="I134" s="578"/>
      <c r="J134" s="448"/>
      <c r="K134" s="463"/>
      <c r="L134" s="819"/>
      <c r="M134" s="827"/>
      <c r="N134" s="821"/>
      <c r="O134" s="822"/>
      <c r="P134" s="822"/>
      <c r="Q134" s="821" t="s">
        <v>33</v>
      </c>
      <c r="R134" s="823"/>
    </row>
    <row r="135" spans="1:20" ht="25.5" customHeight="1" x14ac:dyDescent="0.3">
      <c r="A135" s="299"/>
      <c r="B135" s="200"/>
      <c r="C135" s="201"/>
      <c r="D135" s="201"/>
      <c r="E135" s="214"/>
      <c r="F135" s="203"/>
      <c r="G135" s="203"/>
      <c r="H135" s="203"/>
      <c r="I135" s="578"/>
      <c r="J135" s="448"/>
      <c r="K135" s="463"/>
      <c r="L135" s="819"/>
      <c r="M135" s="827"/>
      <c r="N135" s="821"/>
      <c r="O135" s="822"/>
      <c r="P135" s="822"/>
      <c r="Q135" s="821"/>
      <c r="R135" s="823"/>
    </row>
    <row r="136" spans="1:20" ht="105" customHeight="1" x14ac:dyDescent="0.3">
      <c r="A136" s="224"/>
      <c r="B136" s="323"/>
      <c r="C136" s="324" t="s">
        <v>114</v>
      </c>
      <c r="D136" s="455" t="s">
        <v>903</v>
      </c>
      <c r="E136" s="550">
        <f>35010</f>
        <v>35010</v>
      </c>
      <c r="F136" s="457">
        <v>48550</v>
      </c>
      <c r="G136" s="457">
        <v>2580</v>
      </c>
      <c r="H136" s="457"/>
      <c r="I136" s="545">
        <f t="shared" ref="I136:I156" si="22">SUM(E136:H136)</f>
        <v>86140</v>
      </c>
      <c r="J136" s="458" t="s">
        <v>115</v>
      </c>
      <c r="K136" s="785" t="s">
        <v>1051</v>
      </c>
      <c r="L136" s="843">
        <v>2</v>
      </c>
      <c r="M136" s="827">
        <v>45</v>
      </c>
      <c r="N136" s="821">
        <v>170</v>
      </c>
      <c r="O136" s="822">
        <v>5</v>
      </c>
      <c r="P136" s="822" t="s">
        <v>581</v>
      </c>
      <c r="Q136" s="821">
        <f>9640</f>
        <v>9640</v>
      </c>
      <c r="R136" s="823">
        <f>(L136*M136*N136*O136)+Q136</f>
        <v>86140</v>
      </c>
    </row>
    <row r="137" spans="1:20" ht="67.5" customHeight="1" x14ac:dyDescent="0.3">
      <c r="A137" s="224"/>
      <c r="B137" s="152"/>
      <c r="C137" s="324" t="s">
        <v>473</v>
      </c>
      <c r="D137" s="455" t="s">
        <v>474</v>
      </c>
      <c r="E137" s="550"/>
      <c r="F137" s="457"/>
      <c r="G137" s="457">
        <v>5400</v>
      </c>
      <c r="H137" s="457"/>
      <c r="I137" s="545">
        <f t="shared" si="22"/>
        <v>5400</v>
      </c>
      <c r="J137" s="458" t="s">
        <v>115</v>
      </c>
      <c r="K137" s="791" t="s">
        <v>475</v>
      </c>
      <c r="L137" s="819">
        <v>1</v>
      </c>
      <c r="M137" s="820">
        <v>45</v>
      </c>
      <c r="N137" s="821">
        <v>40</v>
      </c>
      <c r="O137" s="822">
        <v>3</v>
      </c>
      <c r="P137" s="822" t="s">
        <v>581</v>
      </c>
      <c r="Q137" s="821">
        <v>0</v>
      </c>
      <c r="R137" s="826">
        <f t="shared" ref="R137:R156" si="23">(L137*M137*N137*O137)+Q137</f>
        <v>5400</v>
      </c>
    </row>
    <row r="138" spans="1:20" ht="64.5" customHeight="1" x14ac:dyDescent="0.3">
      <c r="A138" s="224"/>
      <c r="B138" s="63"/>
      <c r="C138" s="324" t="s">
        <v>116</v>
      </c>
      <c r="D138" s="455" t="s">
        <v>476</v>
      </c>
      <c r="E138" s="550"/>
      <c r="F138" s="457">
        <v>3052</v>
      </c>
      <c r="G138" s="457"/>
      <c r="H138" s="564"/>
      <c r="I138" s="545">
        <f t="shared" si="22"/>
        <v>3052</v>
      </c>
      <c r="J138" s="458" t="s">
        <v>115</v>
      </c>
      <c r="K138" s="785" t="s">
        <v>767</v>
      </c>
      <c r="L138" s="843">
        <v>1</v>
      </c>
      <c r="M138" s="827">
        <v>45</v>
      </c>
      <c r="N138" s="821">
        <v>20</v>
      </c>
      <c r="O138" s="822">
        <v>3</v>
      </c>
      <c r="P138" s="822" t="s">
        <v>581</v>
      </c>
      <c r="Q138" s="821">
        <f>352</f>
        <v>352</v>
      </c>
      <c r="R138" s="823">
        <f t="shared" si="23"/>
        <v>3052</v>
      </c>
    </row>
    <row r="139" spans="1:20" ht="75" customHeight="1" x14ac:dyDescent="0.3">
      <c r="A139" s="224"/>
      <c r="B139" s="7"/>
      <c r="C139" s="324" t="s">
        <v>477</v>
      </c>
      <c r="D139" s="455" t="s">
        <v>119</v>
      </c>
      <c r="E139" s="550">
        <v>590</v>
      </c>
      <c r="F139" s="457"/>
      <c r="G139" s="457"/>
      <c r="H139" s="457">
        <f>10000</f>
        <v>10000</v>
      </c>
      <c r="I139" s="545">
        <f t="shared" si="22"/>
        <v>10590</v>
      </c>
      <c r="J139" s="458" t="s">
        <v>115</v>
      </c>
      <c r="K139" s="785" t="s">
        <v>479</v>
      </c>
      <c r="L139" s="843">
        <v>1</v>
      </c>
      <c r="M139" s="827">
        <v>2</v>
      </c>
      <c r="N139" s="821">
        <v>400</v>
      </c>
      <c r="O139" s="822">
        <v>13</v>
      </c>
      <c r="P139" s="822" t="s">
        <v>581</v>
      </c>
      <c r="Q139" s="821">
        <v>190</v>
      </c>
      <c r="R139" s="823">
        <f t="shared" si="23"/>
        <v>10590</v>
      </c>
    </row>
    <row r="140" spans="1:20" ht="75" customHeight="1" x14ac:dyDescent="0.3">
      <c r="A140" s="224"/>
      <c r="B140" s="7"/>
      <c r="C140" s="450" t="s">
        <v>858</v>
      </c>
      <c r="D140" s="455" t="s">
        <v>669</v>
      </c>
      <c r="E140" s="598"/>
      <c r="F140" s="452"/>
      <c r="G140" s="452"/>
      <c r="H140" s="452">
        <v>5000</v>
      </c>
      <c r="I140" s="551">
        <f>SUM(E140:H140)</f>
        <v>5000</v>
      </c>
      <c r="J140" s="456" t="s">
        <v>115</v>
      </c>
      <c r="K140" s="791" t="s">
        <v>670</v>
      </c>
      <c r="L140" s="819">
        <v>1</v>
      </c>
      <c r="M140" s="820">
        <v>1</v>
      </c>
      <c r="N140" s="821">
        <v>500</v>
      </c>
      <c r="O140" s="822">
        <v>10</v>
      </c>
      <c r="P140" s="822" t="s">
        <v>581</v>
      </c>
      <c r="Q140" s="821"/>
      <c r="R140" s="864">
        <f>(L140*M140*N140*O140)+Q140</f>
        <v>5000</v>
      </c>
    </row>
    <row r="141" spans="1:20" ht="75" customHeight="1" x14ac:dyDescent="0.3">
      <c r="A141" s="224"/>
      <c r="B141" s="7"/>
      <c r="C141" s="453" t="s">
        <v>859</v>
      </c>
      <c r="D141" s="455" t="s">
        <v>671</v>
      </c>
      <c r="E141" s="598"/>
      <c r="F141" s="452"/>
      <c r="G141" s="452"/>
      <c r="H141" s="452">
        <v>22500</v>
      </c>
      <c r="I141" s="551">
        <f>SUM(E141:H141)</f>
        <v>22500</v>
      </c>
      <c r="J141" s="456" t="s">
        <v>115</v>
      </c>
      <c r="K141" s="791" t="s">
        <v>873</v>
      </c>
      <c r="L141" s="819">
        <v>1</v>
      </c>
      <c r="M141" s="820">
        <v>50</v>
      </c>
      <c r="N141" s="821">
        <v>30</v>
      </c>
      <c r="O141" s="822">
        <v>10</v>
      </c>
      <c r="P141" s="822" t="s">
        <v>581</v>
      </c>
      <c r="Q141" s="821">
        <v>7500</v>
      </c>
      <c r="R141" s="864">
        <f>(L141*M141*N141*O141)+Q141</f>
        <v>22500</v>
      </c>
    </row>
    <row r="142" spans="1:20" ht="86.25" customHeight="1" x14ac:dyDescent="0.3">
      <c r="A142" s="224"/>
      <c r="B142" s="7"/>
      <c r="C142" s="325" t="s">
        <v>860</v>
      </c>
      <c r="D142" s="278" t="s">
        <v>478</v>
      </c>
      <c r="E142" s="563"/>
      <c r="F142" s="564"/>
      <c r="G142" s="564">
        <f>7500</f>
        <v>7500</v>
      </c>
      <c r="H142" s="325"/>
      <c r="I142" s="278">
        <f t="shared" si="22"/>
        <v>7500</v>
      </c>
      <c r="J142" s="563" t="s">
        <v>115</v>
      </c>
      <c r="K142" s="1237" t="s">
        <v>1063</v>
      </c>
      <c r="L142" s="1349">
        <v>1</v>
      </c>
      <c r="M142" s="1366">
        <v>75</v>
      </c>
      <c r="N142" s="1367">
        <f>7500/75</f>
        <v>100</v>
      </c>
      <c r="O142" s="822">
        <v>1</v>
      </c>
      <c r="P142" s="822" t="s">
        <v>581</v>
      </c>
      <c r="Q142" s="821">
        <v>0</v>
      </c>
      <c r="R142" s="826">
        <f>(L142*M142*N142*O142)+Q142</f>
        <v>7500</v>
      </c>
      <c r="T142" s="202"/>
    </row>
    <row r="143" spans="1:20" ht="106.5" customHeight="1" x14ac:dyDescent="0.3">
      <c r="A143" s="224"/>
      <c r="B143" s="7"/>
      <c r="C143" s="325" t="s">
        <v>861</v>
      </c>
      <c r="D143" s="278" t="s">
        <v>482</v>
      </c>
      <c r="E143" s="563"/>
      <c r="F143" s="564"/>
      <c r="G143" s="564">
        <f>10000</f>
        <v>10000</v>
      </c>
      <c r="H143" s="325"/>
      <c r="I143" s="278">
        <f t="shared" si="22"/>
        <v>10000</v>
      </c>
      <c r="J143" s="563" t="s">
        <v>115</v>
      </c>
      <c r="K143" s="791" t="s">
        <v>483</v>
      </c>
      <c r="L143" s="819">
        <v>1</v>
      </c>
      <c r="M143" s="820">
        <v>50</v>
      </c>
      <c r="N143" s="821">
        <v>25</v>
      </c>
      <c r="O143" s="822">
        <v>5</v>
      </c>
      <c r="P143" s="822" t="s">
        <v>598</v>
      </c>
      <c r="Q143" s="821">
        <f>500*5+1250</f>
        <v>3750</v>
      </c>
      <c r="R143" s="826">
        <f>(L143*M143*N143*O143)+Q143</f>
        <v>10000</v>
      </c>
      <c r="T143" s="202"/>
    </row>
    <row r="144" spans="1:20" ht="58.5" customHeight="1" x14ac:dyDescent="0.3">
      <c r="A144" s="224"/>
      <c r="B144" s="7"/>
      <c r="C144" s="325" t="s">
        <v>862</v>
      </c>
      <c r="D144" s="278" t="s">
        <v>712</v>
      </c>
      <c r="E144" s="563"/>
      <c r="F144" s="564"/>
      <c r="G144" s="564">
        <f>5400</f>
        <v>5400</v>
      </c>
      <c r="H144" s="325"/>
      <c r="I144" s="278">
        <f>SUM(E144:H144)</f>
        <v>5400</v>
      </c>
      <c r="J144" s="563" t="s">
        <v>115</v>
      </c>
      <c r="K144" s="645" t="s">
        <v>713</v>
      </c>
      <c r="L144" s="819">
        <v>1</v>
      </c>
      <c r="M144" s="820">
        <v>30</v>
      </c>
      <c r="N144" s="821">
        <v>180</v>
      </c>
      <c r="O144" s="822">
        <v>1</v>
      </c>
      <c r="P144" s="822" t="s">
        <v>579</v>
      </c>
      <c r="Q144" s="821"/>
      <c r="R144" s="858">
        <f>(L144*M144*N144*O144)+Q144</f>
        <v>5400</v>
      </c>
      <c r="S144" s="809"/>
      <c r="T144" s="437"/>
    </row>
    <row r="145" spans="1:192" ht="57" customHeight="1" x14ac:dyDescent="0.3">
      <c r="A145" s="224"/>
      <c r="B145" s="7"/>
      <c r="C145" s="325" t="s">
        <v>980</v>
      </c>
      <c r="D145" s="278" t="s">
        <v>1082</v>
      </c>
      <c r="E145" s="563"/>
      <c r="F145" s="564">
        <f>17173.8</f>
        <v>17173.8</v>
      </c>
      <c r="G145" s="564"/>
      <c r="H145" s="325"/>
      <c r="I145" s="278">
        <f t="shared" ref="I145" si="24">SUM(E145:H145)</f>
        <v>17173.8</v>
      </c>
      <c r="J145" s="563" t="s">
        <v>58</v>
      </c>
      <c r="K145" s="785" t="s">
        <v>1083</v>
      </c>
      <c r="L145" s="866">
        <v>1</v>
      </c>
      <c r="M145" s="867">
        <v>20</v>
      </c>
      <c r="N145" s="868">
        <v>858.7</v>
      </c>
      <c r="O145" s="868">
        <v>1</v>
      </c>
      <c r="P145" s="868" t="s">
        <v>579</v>
      </c>
      <c r="Q145" s="880">
        <f>-0.2</f>
        <v>-0.2</v>
      </c>
      <c r="R145" s="863">
        <f t="shared" ref="R145" si="25">(L145*M145*N145*O145)+Q145</f>
        <v>17173.8</v>
      </c>
      <c r="S145" s="1373"/>
      <c r="T145" s="982"/>
    </row>
    <row r="146" spans="1:192" ht="63.75" customHeight="1" x14ac:dyDescent="0.3">
      <c r="A146" s="224"/>
      <c r="B146" s="63"/>
      <c r="C146" s="325" t="s">
        <v>1133</v>
      </c>
      <c r="D146" s="278" t="s">
        <v>484</v>
      </c>
      <c r="E146" s="563">
        <v>0</v>
      </c>
      <c r="F146" s="564">
        <v>840</v>
      </c>
      <c r="G146" s="564"/>
      <c r="H146" s="325"/>
      <c r="I146" s="278">
        <f t="shared" si="22"/>
        <v>840</v>
      </c>
      <c r="J146" s="563" t="s">
        <v>115</v>
      </c>
      <c r="K146" s="772" t="s">
        <v>485</v>
      </c>
      <c r="L146" s="843">
        <v>1</v>
      </c>
      <c r="M146" s="827">
        <v>4</v>
      </c>
      <c r="N146" s="821">
        <v>210</v>
      </c>
      <c r="O146" s="822">
        <v>1</v>
      </c>
      <c r="P146" s="822" t="s">
        <v>581</v>
      </c>
      <c r="Q146" s="821">
        <v>0</v>
      </c>
      <c r="R146" s="823">
        <f t="shared" si="23"/>
        <v>840</v>
      </c>
    </row>
    <row r="147" spans="1:192" ht="80.25" customHeight="1" x14ac:dyDescent="0.3">
      <c r="A147" s="224"/>
      <c r="B147" s="1092"/>
      <c r="C147" s="325" t="s">
        <v>123</v>
      </c>
      <c r="D147" s="278" t="s">
        <v>548</v>
      </c>
      <c r="E147" s="563"/>
      <c r="F147" s="564">
        <f>43793.33</f>
        <v>43793.33</v>
      </c>
      <c r="G147" s="564"/>
      <c r="H147" s="325"/>
      <c r="I147" s="278">
        <f t="shared" si="22"/>
        <v>43793.33</v>
      </c>
      <c r="J147" s="563" t="s">
        <v>58</v>
      </c>
      <c r="K147" s="785" t="s">
        <v>1077</v>
      </c>
      <c r="L147" s="819">
        <v>1</v>
      </c>
      <c r="M147" s="827">
        <v>2</v>
      </c>
      <c r="N147" s="821">
        <f>65690/3</f>
        <v>21896.666666666668</v>
      </c>
      <c r="O147" s="822">
        <v>1</v>
      </c>
      <c r="P147" s="822"/>
      <c r="Q147" s="821">
        <v>0</v>
      </c>
      <c r="R147" s="863">
        <f t="shared" si="23"/>
        <v>43793.333333333336</v>
      </c>
    </row>
    <row r="148" spans="1:192" ht="101.25" customHeight="1" x14ac:dyDescent="0.3">
      <c r="A148" s="224"/>
      <c r="B148" s="63"/>
      <c r="C148" s="325" t="s">
        <v>131</v>
      </c>
      <c r="D148" s="278" t="s">
        <v>599</v>
      </c>
      <c r="E148" s="563">
        <f>29500</f>
        <v>29500</v>
      </c>
      <c r="F148" s="564">
        <f>44720+28550</f>
        <v>73270</v>
      </c>
      <c r="G148" s="564"/>
      <c r="H148" s="564"/>
      <c r="I148" s="545">
        <f t="shared" si="22"/>
        <v>102770</v>
      </c>
      <c r="J148" s="279" t="s">
        <v>115</v>
      </c>
      <c r="K148" s="772" t="s">
        <v>768</v>
      </c>
      <c r="L148" s="843">
        <v>2</v>
      </c>
      <c r="M148" s="827">
        <v>260</v>
      </c>
      <c r="N148" s="821">
        <v>90</v>
      </c>
      <c r="O148" s="822">
        <v>2</v>
      </c>
      <c r="P148" s="822" t="s">
        <v>581</v>
      </c>
      <c r="Q148" s="821">
        <f>9170</f>
        <v>9170</v>
      </c>
      <c r="R148" s="823">
        <f t="shared" si="23"/>
        <v>102770</v>
      </c>
    </row>
    <row r="149" spans="1:192" ht="92.25" customHeight="1" x14ac:dyDescent="0.3">
      <c r="A149" s="224"/>
      <c r="B149" s="63"/>
      <c r="C149" s="324" t="s">
        <v>132</v>
      </c>
      <c r="D149" s="455" t="s">
        <v>133</v>
      </c>
      <c r="E149" s="550"/>
      <c r="F149" s="457">
        <f>1803</f>
        <v>1803</v>
      </c>
      <c r="G149" s="457">
        <v>3840</v>
      </c>
      <c r="H149" s="457"/>
      <c r="I149" s="545">
        <f t="shared" si="22"/>
        <v>5643</v>
      </c>
      <c r="J149" s="458" t="s">
        <v>115</v>
      </c>
      <c r="K149" s="785" t="s">
        <v>600</v>
      </c>
      <c r="L149" s="843">
        <v>1</v>
      </c>
      <c r="M149" s="827">
        <v>15</v>
      </c>
      <c r="N149" s="821">
        <v>40</v>
      </c>
      <c r="O149" s="822">
        <v>2</v>
      </c>
      <c r="P149" s="822" t="s">
        <v>581</v>
      </c>
      <c r="Q149" s="821">
        <f>400*10+443</f>
        <v>4443</v>
      </c>
      <c r="R149" s="823">
        <f t="shared" si="23"/>
        <v>5643</v>
      </c>
      <c r="GJ149">
        <v>0</v>
      </c>
    </row>
    <row r="150" spans="1:192" ht="115.5" customHeight="1" x14ac:dyDescent="0.3">
      <c r="A150" s="224"/>
      <c r="B150" s="63"/>
      <c r="C150" s="325" t="s">
        <v>672</v>
      </c>
      <c r="D150" s="278" t="s">
        <v>136</v>
      </c>
      <c r="E150" s="563"/>
      <c r="F150" s="564">
        <v>24710</v>
      </c>
      <c r="G150" s="564"/>
      <c r="H150" s="564"/>
      <c r="I150" s="551">
        <f t="shared" si="22"/>
        <v>24710</v>
      </c>
      <c r="J150" s="279" t="s">
        <v>115</v>
      </c>
      <c r="K150" s="772" t="s">
        <v>769</v>
      </c>
      <c r="L150" s="843">
        <v>1</v>
      </c>
      <c r="M150" s="827">
        <v>10</v>
      </c>
      <c r="N150" s="821">
        <v>40</v>
      </c>
      <c r="O150" s="822">
        <v>30</v>
      </c>
      <c r="P150" s="822" t="s">
        <v>581</v>
      </c>
      <c r="Q150" s="821">
        <f>400*30+710</f>
        <v>12710</v>
      </c>
      <c r="R150" s="823">
        <f t="shared" si="23"/>
        <v>24710</v>
      </c>
    </row>
    <row r="151" spans="1:192" ht="81" customHeight="1" x14ac:dyDescent="0.3">
      <c r="A151" s="224"/>
      <c r="B151" s="204"/>
      <c r="C151" s="453" t="s">
        <v>759</v>
      </c>
      <c r="D151" s="451" t="s">
        <v>802</v>
      </c>
      <c r="E151" s="599"/>
      <c r="F151" s="599"/>
      <c r="G151" s="643"/>
      <c r="H151" s="643">
        <f>10025+9800</f>
        <v>19825</v>
      </c>
      <c r="I151" s="644">
        <f t="shared" ref="I151" si="26">SUM(E151:H151)</f>
        <v>19825</v>
      </c>
      <c r="J151" s="645" t="s">
        <v>115</v>
      </c>
      <c r="K151" s="645" t="s">
        <v>891</v>
      </c>
      <c r="L151" s="1001">
        <v>2</v>
      </c>
      <c r="M151" s="820">
        <v>15</v>
      </c>
      <c r="N151" s="821">
        <v>30</v>
      </c>
      <c r="O151" s="822">
        <v>5</v>
      </c>
      <c r="P151" s="822" t="s">
        <v>581</v>
      </c>
      <c r="Q151" s="821">
        <f>7500+7825</f>
        <v>15325</v>
      </c>
      <c r="R151" s="858">
        <f t="shared" si="23"/>
        <v>19825</v>
      </c>
      <c r="S151" s="924"/>
    </row>
    <row r="152" spans="1:192" ht="85.5" customHeight="1" x14ac:dyDescent="0.3">
      <c r="A152" s="224"/>
      <c r="B152" s="204"/>
      <c r="C152" s="453" t="s">
        <v>760</v>
      </c>
      <c r="D152" s="451" t="s">
        <v>673</v>
      </c>
      <c r="E152" s="599"/>
      <c r="F152" s="599"/>
      <c r="G152" s="643">
        <v>4000</v>
      </c>
      <c r="H152" s="452">
        <v>5000</v>
      </c>
      <c r="I152" s="644">
        <f t="shared" ref="I152" si="27">SUM(E152:H152)</f>
        <v>9000</v>
      </c>
      <c r="J152" s="645" t="s">
        <v>115</v>
      </c>
      <c r="K152" s="645" t="s">
        <v>803</v>
      </c>
      <c r="L152" s="1001">
        <v>1</v>
      </c>
      <c r="M152" s="820">
        <v>2</v>
      </c>
      <c r="N152" s="821">
        <v>400</v>
      </c>
      <c r="O152" s="822">
        <v>8</v>
      </c>
      <c r="P152" s="822" t="s">
        <v>581</v>
      </c>
      <c r="Q152" s="821">
        <v>2600</v>
      </c>
      <c r="R152" s="858">
        <f t="shared" si="23"/>
        <v>9000</v>
      </c>
      <c r="S152" s="924"/>
    </row>
    <row r="153" spans="1:192" ht="106.5" customHeight="1" x14ac:dyDescent="0.3">
      <c r="A153" s="224"/>
      <c r="B153" s="63"/>
      <c r="C153" s="453" t="s">
        <v>141</v>
      </c>
      <c r="D153" s="455" t="s">
        <v>601</v>
      </c>
      <c r="E153" s="550"/>
      <c r="F153" s="457">
        <v>6500</v>
      </c>
      <c r="G153" s="457">
        <v>4523</v>
      </c>
      <c r="H153" s="564"/>
      <c r="I153" s="545">
        <f t="shared" si="22"/>
        <v>11023</v>
      </c>
      <c r="J153" s="458" t="s">
        <v>115</v>
      </c>
      <c r="K153" s="772" t="s">
        <v>602</v>
      </c>
      <c r="L153" s="819">
        <v>1</v>
      </c>
      <c r="M153" s="827">
        <v>1</v>
      </c>
      <c r="N153" s="821">
        <v>400</v>
      </c>
      <c r="O153" s="822">
        <v>26</v>
      </c>
      <c r="P153" s="822" t="s">
        <v>581</v>
      </c>
      <c r="Q153" s="821">
        <v>623</v>
      </c>
      <c r="R153" s="823">
        <f t="shared" si="23"/>
        <v>11023</v>
      </c>
    </row>
    <row r="154" spans="1:192" ht="93.75" customHeight="1" x14ac:dyDescent="0.3">
      <c r="A154" s="224"/>
      <c r="B154" s="138"/>
      <c r="C154" s="324" t="s">
        <v>143</v>
      </c>
      <c r="D154" s="455" t="s">
        <v>144</v>
      </c>
      <c r="E154" s="550"/>
      <c r="F154" s="457">
        <v>0</v>
      </c>
      <c r="G154" s="457">
        <v>3120</v>
      </c>
      <c r="H154" s="564"/>
      <c r="I154" s="545">
        <f t="shared" si="22"/>
        <v>3120</v>
      </c>
      <c r="J154" s="458" t="s">
        <v>115</v>
      </c>
      <c r="K154" s="785" t="s">
        <v>603</v>
      </c>
      <c r="L154" s="819">
        <v>1</v>
      </c>
      <c r="M154" s="827">
        <v>26</v>
      </c>
      <c r="N154" s="821">
        <v>40</v>
      </c>
      <c r="O154" s="822">
        <v>2</v>
      </c>
      <c r="P154" s="822" t="s">
        <v>581</v>
      </c>
      <c r="Q154" s="821">
        <v>1040</v>
      </c>
      <c r="R154" s="823">
        <f t="shared" si="23"/>
        <v>3120</v>
      </c>
    </row>
    <row r="155" spans="1:192" ht="152.25" customHeight="1" x14ac:dyDescent="0.3">
      <c r="A155" s="224"/>
      <c r="B155" s="63"/>
      <c r="C155" s="325" t="s">
        <v>146</v>
      </c>
      <c r="D155" s="278" t="s">
        <v>604</v>
      </c>
      <c r="E155" s="563"/>
      <c r="F155" s="564">
        <f>24322</f>
        <v>24322</v>
      </c>
      <c r="G155" s="564">
        <v>3203</v>
      </c>
      <c r="H155" s="564"/>
      <c r="I155" s="545">
        <f t="shared" si="22"/>
        <v>27525</v>
      </c>
      <c r="J155" s="279" t="s">
        <v>115</v>
      </c>
      <c r="K155" s="772" t="s">
        <v>1052</v>
      </c>
      <c r="L155" s="859">
        <v>2</v>
      </c>
      <c r="M155" s="860">
        <v>6</v>
      </c>
      <c r="N155" s="861">
        <v>250</v>
      </c>
      <c r="O155" s="861">
        <v>6</v>
      </c>
      <c r="P155" s="861" t="s">
        <v>581</v>
      </c>
      <c r="Q155" s="862">
        <f>793.75*12</f>
        <v>9525</v>
      </c>
      <c r="R155" s="823">
        <f>(L155*M155*N155*O155)+Q155</f>
        <v>27525</v>
      </c>
      <c r="S155" s="81"/>
    </row>
    <row r="156" spans="1:192" ht="78" customHeight="1" x14ac:dyDescent="0.3">
      <c r="A156" s="224"/>
      <c r="B156" s="1092"/>
      <c r="C156" s="1603" t="s">
        <v>150</v>
      </c>
      <c r="D156" s="1604" t="s">
        <v>605</v>
      </c>
      <c r="E156" s="1571">
        <v>10290</v>
      </c>
      <c r="F156" s="1572">
        <v>0</v>
      </c>
      <c r="G156" s="1572"/>
      <c r="H156" s="1572"/>
      <c r="I156" s="1573">
        <f t="shared" si="22"/>
        <v>10290</v>
      </c>
      <c r="J156" s="1574" t="s">
        <v>115</v>
      </c>
      <c r="K156" s="1579" t="s">
        <v>606</v>
      </c>
      <c r="L156" s="819">
        <v>1</v>
      </c>
      <c r="M156" s="827">
        <v>35</v>
      </c>
      <c r="N156" s="821">
        <v>90</v>
      </c>
      <c r="O156" s="822">
        <v>3</v>
      </c>
      <c r="P156" s="822" t="s">
        <v>581</v>
      </c>
      <c r="Q156" s="821">
        <f>I156-9450</f>
        <v>840</v>
      </c>
      <c r="R156" s="823">
        <f t="shared" si="23"/>
        <v>10290</v>
      </c>
    </row>
    <row r="157" spans="1:192" ht="83.25" customHeight="1" x14ac:dyDescent="0.3">
      <c r="A157" s="224"/>
      <c r="B157" s="1092"/>
      <c r="C157" s="1597" t="s">
        <v>486</v>
      </c>
      <c r="D157" s="1585" t="s">
        <v>674</v>
      </c>
      <c r="E157" s="1598"/>
      <c r="F157" s="1599"/>
      <c r="G157" s="1599"/>
      <c r="H157" s="1599">
        <f>2500</f>
        <v>2500</v>
      </c>
      <c r="I157" s="1600">
        <f>SUM(E157:H157)</f>
        <v>2500</v>
      </c>
      <c r="J157" s="1601" t="s">
        <v>115</v>
      </c>
      <c r="K157" s="1602" t="s">
        <v>675</v>
      </c>
      <c r="L157" s="819">
        <v>1</v>
      </c>
      <c r="M157" s="820">
        <v>1</v>
      </c>
      <c r="N157" s="821">
        <v>500</v>
      </c>
      <c r="O157" s="822">
        <v>5</v>
      </c>
      <c r="P157" s="822" t="s">
        <v>581</v>
      </c>
      <c r="Q157" s="821"/>
      <c r="R157" s="864">
        <f>(L157*M157*N157*O157)+Q157</f>
        <v>2500</v>
      </c>
    </row>
    <row r="158" spans="1:192" ht="72" customHeight="1" x14ac:dyDescent="0.3">
      <c r="A158" s="224"/>
      <c r="B158" s="204"/>
      <c r="C158" s="324" t="s">
        <v>487</v>
      </c>
      <c r="D158" s="455" t="s">
        <v>488</v>
      </c>
      <c r="E158" s="569"/>
      <c r="F158" s="1368"/>
      <c r="G158" s="597">
        <v>6455</v>
      </c>
      <c r="H158" s="596"/>
      <c r="I158" s="987">
        <f>SUM(E158:H158)</f>
        <v>6455</v>
      </c>
      <c r="J158" s="518" t="s">
        <v>115</v>
      </c>
      <c r="K158" s="785" t="s">
        <v>1053</v>
      </c>
      <c r="L158" s="819">
        <v>1</v>
      </c>
      <c r="M158" s="827">
        <v>60</v>
      </c>
      <c r="N158" s="821">
        <v>40</v>
      </c>
      <c r="O158" s="822">
        <v>2</v>
      </c>
      <c r="P158" s="822" t="s">
        <v>581</v>
      </c>
      <c r="Q158" s="821">
        <f>1655</f>
        <v>1655</v>
      </c>
      <c r="R158" s="863">
        <f>(L158*M158*N158*O158)+Q158</f>
        <v>6455</v>
      </c>
    </row>
    <row r="159" spans="1:192" ht="17.25" customHeight="1" thickBot="1" x14ac:dyDescent="0.35">
      <c r="A159" s="224"/>
      <c r="B159" s="327"/>
      <c r="C159" s="73"/>
      <c r="D159" s="225"/>
      <c r="E159" s="212" t="s">
        <v>155</v>
      </c>
      <c r="F159" s="61"/>
      <c r="G159" s="600"/>
      <c r="H159" s="61"/>
      <c r="I159" s="213"/>
      <c r="J159" s="513"/>
      <c r="K159" s="769"/>
      <c r="L159" s="819"/>
      <c r="M159" s="827"/>
      <c r="N159" s="821"/>
      <c r="O159" s="822"/>
      <c r="P159" s="822"/>
      <c r="Q159" s="821" t="s">
        <v>607</v>
      </c>
      <c r="R159" s="826"/>
    </row>
    <row r="160" spans="1:192" ht="30.75" customHeight="1" thickBot="1" x14ac:dyDescent="0.35">
      <c r="A160" s="320"/>
      <c r="B160" s="328" t="s">
        <v>45</v>
      </c>
      <c r="C160" s="329"/>
      <c r="D160" s="493">
        <f>SUM(D146:D150)</f>
        <v>0</v>
      </c>
      <c r="E160" s="581">
        <f>SUM(E136:E159)</f>
        <v>75390</v>
      </c>
      <c r="F160" s="581">
        <f>SUM(F136:F159)</f>
        <v>244014.13</v>
      </c>
      <c r="G160" s="581">
        <f>SUM(G136:G159)</f>
        <v>56021</v>
      </c>
      <c r="H160" s="581">
        <f>SUM(H136:H159)</f>
        <v>64825</v>
      </c>
      <c r="I160" s="581">
        <f>SUM(I136:I159)</f>
        <v>440250.13</v>
      </c>
      <c r="J160" s="521">
        <f>SUM(J136:J156)</f>
        <v>0</v>
      </c>
      <c r="K160" s="792">
        <f>SUM(K136:K156)</f>
        <v>0</v>
      </c>
      <c r="L160" s="850"/>
      <c r="M160" s="851"/>
      <c r="N160" s="845"/>
      <c r="O160" s="845"/>
      <c r="P160" s="845"/>
      <c r="Q160" s="845"/>
      <c r="R160" s="846">
        <f>SUM(R136:R159)</f>
        <v>440250.1333333333</v>
      </c>
    </row>
    <row r="161" spans="1:18" ht="15" customHeight="1" x14ac:dyDescent="0.3">
      <c r="A161" s="224"/>
      <c r="B161" s="330"/>
      <c r="C161" s="277"/>
      <c r="D161" s="278"/>
      <c r="E161" s="571"/>
      <c r="F161" s="572"/>
      <c r="G161" s="572"/>
      <c r="H161" s="572"/>
      <c r="I161" s="573"/>
      <c r="J161" s="289"/>
      <c r="K161" s="776"/>
      <c r="L161" s="819"/>
      <c r="M161" s="827"/>
      <c r="N161" s="821"/>
      <c r="O161" s="822"/>
      <c r="P161" s="822"/>
      <c r="Q161" s="821"/>
      <c r="R161" s="826"/>
    </row>
    <row r="162" spans="1:18" ht="13.5" customHeight="1" x14ac:dyDescent="0.3">
      <c r="A162" s="224"/>
      <c r="B162" s="331"/>
      <c r="C162" s="332"/>
      <c r="D162" s="455"/>
      <c r="E162" s="549"/>
      <c r="F162" s="461"/>
      <c r="G162" s="461"/>
      <c r="H162" s="461"/>
      <c r="I162" s="551"/>
      <c r="J162" s="519"/>
      <c r="K162" s="789"/>
      <c r="L162" s="819"/>
      <c r="M162" s="827"/>
      <c r="N162" s="821"/>
      <c r="O162" s="822"/>
      <c r="P162" s="822"/>
      <c r="Q162" s="821"/>
      <c r="R162" s="826"/>
    </row>
    <row r="163" spans="1:18" ht="30" customHeight="1" x14ac:dyDescent="0.3">
      <c r="A163" s="224"/>
      <c r="B163" s="333" t="s">
        <v>156</v>
      </c>
      <c r="C163" s="334"/>
      <c r="D163" s="482"/>
      <c r="E163" s="574"/>
      <c r="F163" s="575"/>
      <c r="G163" s="575"/>
      <c r="H163" s="575"/>
      <c r="I163" s="551"/>
      <c r="J163" s="519"/>
      <c r="K163" s="789"/>
      <c r="L163" s="819"/>
      <c r="M163" s="827"/>
      <c r="N163" s="821"/>
      <c r="O163" s="822"/>
      <c r="P163" s="822"/>
      <c r="Q163" s="821"/>
      <c r="R163" s="826"/>
    </row>
    <row r="164" spans="1:18" ht="72.75" customHeight="1" x14ac:dyDescent="0.3">
      <c r="A164" s="305">
        <v>3.1</v>
      </c>
      <c r="B164" s="2651" t="s">
        <v>157</v>
      </c>
      <c r="C164" s="2652"/>
      <c r="D164" s="479"/>
      <c r="E164" s="549"/>
      <c r="F164" s="461"/>
      <c r="G164" s="461"/>
      <c r="H164" s="461"/>
      <c r="I164" s="551"/>
      <c r="J164" s="519"/>
      <c r="K164" s="789"/>
      <c r="L164" s="819"/>
      <c r="M164" s="827"/>
      <c r="N164" s="821"/>
      <c r="O164" s="822"/>
      <c r="P164" s="822"/>
      <c r="Q164" s="821"/>
      <c r="R164" s="826"/>
    </row>
    <row r="165" spans="1:18" ht="47.25" customHeight="1" x14ac:dyDescent="0.3">
      <c r="A165" s="224"/>
      <c r="B165" s="2646" t="s">
        <v>384</v>
      </c>
      <c r="C165" s="2647"/>
      <c r="D165" s="2648"/>
      <c r="E165" s="576"/>
      <c r="F165" s="552"/>
      <c r="G165" s="552"/>
      <c r="H165" s="552"/>
      <c r="I165" s="577"/>
      <c r="J165" s="466"/>
      <c r="K165" s="790"/>
      <c r="L165" s="819"/>
      <c r="M165" s="827"/>
      <c r="N165" s="821"/>
      <c r="O165" s="822"/>
      <c r="P165" s="822"/>
      <c r="Q165" s="821"/>
      <c r="R165" s="863"/>
    </row>
    <row r="166" spans="1:18" ht="143.25" customHeight="1" x14ac:dyDescent="0.3">
      <c r="A166" s="224"/>
      <c r="B166" s="2634" t="s">
        <v>395</v>
      </c>
      <c r="C166" s="2641"/>
      <c r="D166" s="2641"/>
      <c r="E166" s="214"/>
      <c r="F166" s="203"/>
      <c r="G166" s="203"/>
      <c r="H166" s="203"/>
      <c r="I166" s="578"/>
      <c r="J166" s="448"/>
      <c r="K166" s="463"/>
      <c r="L166" s="819"/>
      <c r="M166" s="827"/>
      <c r="N166" s="821"/>
      <c r="O166" s="822"/>
      <c r="P166" s="822"/>
      <c r="Q166" s="821"/>
      <c r="R166" s="863"/>
    </row>
    <row r="167" spans="1:18" ht="63.75" customHeight="1" x14ac:dyDescent="0.3">
      <c r="A167" s="224"/>
      <c r="B167" s="2634" t="s">
        <v>396</v>
      </c>
      <c r="C167" s="2641"/>
      <c r="D167" s="2641"/>
      <c r="E167" s="214"/>
      <c r="F167" s="203"/>
      <c r="G167" s="203"/>
      <c r="H167" s="564"/>
      <c r="I167" s="578"/>
      <c r="J167" s="448"/>
      <c r="K167" s="463"/>
      <c r="L167" s="819"/>
      <c r="M167" s="827"/>
      <c r="N167" s="821"/>
      <c r="O167" s="822"/>
      <c r="P167" s="822"/>
      <c r="Q167" s="821"/>
      <c r="R167" s="863"/>
    </row>
    <row r="168" spans="1:18" ht="145.5" customHeight="1" x14ac:dyDescent="0.3">
      <c r="A168" s="224"/>
      <c r="B168" s="170"/>
      <c r="C168" s="336" t="s">
        <v>158</v>
      </c>
      <c r="D168" s="483" t="s">
        <v>549</v>
      </c>
      <c r="E168" s="579">
        <v>119000</v>
      </c>
      <c r="F168" s="580">
        <v>15800</v>
      </c>
      <c r="G168" s="580">
        <f>4000</f>
        <v>4000</v>
      </c>
      <c r="H168" s="564"/>
      <c r="I168" s="545">
        <f t="shared" ref="I168:I169" si="28">SUM(E168:H168)</f>
        <v>138800</v>
      </c>
      <c r="J168" s="520" t="s">
        <v>159</v>
      </c>
      <c r="K168" s="433" t="s">
        <v>889</v>
      </c>
      <c r="L168" s="819">
        <v>6</v>
      </c>
      <c r="M168" s="827">
        <v>25</v>
      </c>
      <c r="N168" s="821">
        <v>170</v>
      </c>
      <c r="O168" s="822">
        <v>5</v>
      </c>
      <c r="P168" s="822" t="s">
        <v>581</v>
      </c>
      <c r="Q168" s="821">
        <v>11300</v>
      </c>
      <c r="R168" s="863">
        <f>(L168*M168*N168*O168)+Q168</f>
        <v>138800</v>
      </c>
    </row>
    <row r="169" spans="1:18" ht="75.75" customHeight="1" x14ac:dyDescent="0.3">
      <c r="A169" s="224"/>
      <c r="B169" s="63"/>
      <c r="C169" s="336" t="s">
        <v>489</v>
      </c>
      <c r="D169" s="483" t="s">
        <v>490</v>
      </c>
      <c r="E169" s="579"/>
      <c r="F169" s="580"/>
      <c r="G169" s="580"/>
      <c r="H169" s="580">
        <f>5000</f>
        <v>5000</v>
      </c>
      <c r="I169" s="551">
        <f t="shared" si="28"/>
        <v>5000</v>
      </c>
      <c r="J169" s="520" t="s">
        <v>159</v>
      </c>
      <c r="K169" s="791" t="s">
        <v>761</v>
      </c>
      <c r="L169" s="819">
        <v>1</v>
      </c>
      <c r="M169" s="820">
        <v>1</v>
      </c>
      <c r="N169" s="821">
        <v>500</v>
      </c>
      <c r="O169" s="822">
        <v>10</v>
      </c>
      <c r="P169" s="822" t="s">
        <v>581</v>
      </c>
      <c r="Q169" s="821"/>
      <c r="R169" s="865">
        <f>(L169*M169*N169*O169)+Q169</f>
        <v>5000</v>
      </c>
    </row>
    <row r="170" spans="1:18" ht="14.25" customHeight="1" thickBot="1" x14ac:dyDescent="0.35">
      <c r="A170" s="224"/>
      <c r="B170" s="63"/>
      <c r="C170" s="64"/>
      <c r="D170" s="225"/>
      <c r="E170" s="212"/>
      <c r="F170" s="61"/>
      <c r="G170" s="61"/>
      <c r="H170" s="61"/>
      <c r="I170" s="213"/>
      <c r="J170" s="513"/>
      <c r="K170" s="793"/>
      <c r="L170" s="819"/>
      <c r="M170" s="827"/>
      <c r="N170" s="821"/>
      <c r="O170" s="822"/>
      <c r="P170" s="822"/>
      <c r="Q170" s="821"/>
      <c r="R170" s="826"/>
    </row>
    <row r="171" spans="1:18" ht="32.25" customHeight="1" thickBot="1" x14ac:dyDescent="0.35">
      <c r="A171" s="224"/>
      <c r="B171" s="303" t="s">
        <v>45</v>
      </c>
      <c r="C171" s="329"/>
      <c r="D171" s="493"/>
      <c r="E171" s="581">
        <f t="shared" ref="E171:K171" si="29">SUM(E168:E170)</f>
        <v>119000</v>
      </c>
      <c r="F171" s="581">
        <f t="shared" si="29"/>
        <v>15800</v>
      </c>
      <c r="G171" s="581">
        <f t="shared" si="29"/>
        <v>4000</v>
      </c>
      <c r="H171" s="581">
        <f t="shared" si="29"/>
        <v>5000</v>
      </c>
      <c r="I171" s="581">
        <f t="shared" si="29"/>
        <v>143800</v>
      </c>
      <c r="J171" s="521">
        <f t="shared" si="29"/>
        <v>0</v>
      </c>
      <c r="K171" s="792">
        <f t="shared" si="29"/>
        <v>0</v>
      </c>
      <c r="L171" s="850"/>
      <c r="M171" s="851"/>
      <c r="N171" s="845"/>
      <c r="O171" s="845"/>
      <c r="P171" s="845"/>
      <c r="Q171" s="845"/>
      <c r="R171" s="846">
        <f>SUM(R168:R170)</f>
        <v>143800</v>
      </c>
    </row>
    <row r="172" spans="1:18" ht="17.25" customHeight="1" thickBot="1" x14ac:dyDescent="0.35">
      <c r="A172" s="224"/>
      <c r="B172" s="142"/>
      <c r="C172" s="64"/>
      <c r="D172" s="209"/>
      <c r="E172" s="212"/>
      <c r="F172" s="61"/>
      <c r="G172" s="61"/>
      <c r="H172" s="61"/>
      <c r="I172" s="213"/>
      <c r="J172" s="513"/>
      <c r="K172" s="769"/>
      <c r="L172" s="819"/>
      <c r="M172" s="827"/>
      <c r="N172" s="821"/>
      <c r="O172" s="822"/>
      <c r="P172" s="822"/>
      <c r="Q172" s="821"/>
      <c r="R172" s="863"/>
    </row>
    <row r="173" spans="1:18" ht="41.25" customHeight="1" x14ac:dyDescent="0.3">
      <c r="A173" s="236">
        <v>4</v>
      </c>
      <c r="B173" s="337" t="s">
        <v>160</v>
      </c>
      <c r="C173" s="338"/>
      <c r="D173" s="494"/>
      <c r="E173" s="601"/>
      <c r="F173" s="602"/>
      <c r="G173" s="602"/>
      <c r="H173" s="602"/>
      <c r="I173" s="603"/>
      <c r="J173" s="526"/>
      <c r="K173" s="794"/>
      <c r="L173" s="819"/>
      <c r="M173" s="827"/>
      <c r="N173" s="821"/>
      <c r="O173" s="822"/>
      <c r="P173" s="822"/>
      <c r="Q173" s="821"/>
      <c r="R173" s="863"/>
    </row>
    <row r="174" spans="1:18" ht="103.5" customHeight="1" x14ac:dyDescent="0.3">
      <c r="A174" s="305">
        <v>4.0999999999999996</v>
      </c>
      <c r="B174" s="2653" t="s">
        <v>161</v>
      </c>
      <c r="C174" s="2652"/>
      <c r="D174" s="479"/>
      <c r="E174" s="571"/>
      <c r="F174" s="572"/>
      <c r="G174" s="572"/>
      <c r="H174" s="572"/>
      <c r="I174" s="573"/>
      <c r="J174" s="289"/>
      <c r="K174" s="776"/>
      <c r="L174" s="819"/>
      <c r="M174" s="827"/>
      <c r="N174" s="821"/>
      <c r="O174" s="822"/>
      <c r="P174" s="822"/>
      <c r="Q174" s="821"/>
      <c r="R174" s="863"/>
    </row>
    <row r="175" spans="1:18" ht="33" customHeight="1" x14ac:dyDescent="0.3">
      <c r="A175" s="224"/>
      <c r="B175" s="2646" t="s">
        <v>385</v>
      </c>
      <c r="C175" s="2647"/>
      <c r="D175" s="2648"/>
      <c r="E175" s="576"/>
      <c r="F175" s="552"/>
      <c r="G175" s="552"/>
      <c r="H175" s="552"/>
      <c r="I175" s="577"/>
      <c r="J175" s="466"/>
      <c r="K175" s="790"/>
      <c r="L175" s="819"/>
      <c r="M175" s="827"/>
      <c r="N175" s="821"/>
      <c r="O175" s="822"/>
      <c r="P175" s="822"/>
      <c r="Q175" s="821"/>
      <c r="R175" s="863"/>
    </row>
    <row r="176" spans="1:18" ht="118.5" customHeight="1" x14ac:dyDescent="0.3">
      <c r="A176" s="224"/>
      <c r="B176" s="2634" t="s">
        <v>386</v>
      </c>
      <c r="C176" s="2641"/>
      <c r="D176" s="2641"/>
      <c r="E176" s="214"/>
      <c r="F176" s="203"/>
      <c r="G176" s="203"/>
      <c r="H176" s="203"/>
      <c r="I176" s="578"/>
      <c r="J176" s="448"/>
      <c r="K176" s="463"/>
      <c r="L176" s="819"/>
      <c r="M176" s="827"/>
      <c r="N176" s="821"/>
      <c r="O176" s="822"/>
      <c r="P176" s="822"/>
      <c r="Q176" s="821"/>
      <c r="R176" s="863"/>
    </row>
    <row r="177" spans="1:19" ht="109.5" customHeight="1" x14ac:dyDescent="0.3">
      <c r="A177" s="224"/>
      <c r="B177" s="2634" t="s">
        <v>387</v>
      </c>
      <c r="C177" s="2641"/>
      <c r="D177" s="2641"/>
      <c r="E177" s="214"/>
      <c r="F177" s="203"/>
      <c r="G177" s="203"/>
      <c r="H177" s="203"/>
      <c r="I177" s="578"/>
      <c r="J177" s="448"/>
      <c r="K177" s="463"/>
      <c r="L177" s="819"/>
      <c r="M177" s="827"/>
      <c r="N177" s="821"/>
      <c r="O177" s="822"/>
      <c r="P177" s="822"/>
      <c r="Q177" s="821"/>
      <c r="R177" s="863"/>
    </row>
    <row r="178" spans="1:19" ht="173.25" customHeight="1" x14ac:dyDescent="0.3">
      <c r="A178" s="224"/>
      <c r="B178" s="170"/>
      <c r="C178" s="173" t="s">
        <v>551</v>
      </c>
      <c r="D178" s="475" t="s">
        <v>714</v>
      </c>
      <c r="E178" s="604"/>
      <c r="F178" s="605">
        <v>212</v>
      </c>
      <c r="G178" s="605">
        <f>2070+718</f>
        <v>2788</v>
      </c>
      <c r="H178" s="580">
        <f>1800</f>
        <v>1800</v>
      </c>
      <c r="I178" s="545">
        <f t="shared" ref="I178:I199" si="30">SUM(E178:H178)</f>
        <v>4800</v>
      </c>
      <c r="J178" s="339" t="s">
        <v>58</v>
      </c>
      <c r="K178" s="433" t="s">
        <v>772</v>
      </c>
      <c r="L178" s="819">
        <v>16</v>
      </c>
      <c r="M178" s="827">
        <v>15</v>
      </c>
      <c r="N178" s="821">
        <v>20</v>
      </c>
      <c r="O178" s="822">
        <v>1</v>
      </c>
      <c r="P178" s="822" t="s">
        <v>590</v>
      </c>
      <c r="Q178" s="821"/>
      <c r="R178" s="863">
        <f t="shared" ref="R178:R190" si="31">(L178*M178*N178*O178)+Q178</f>
        <v>4800</v>
      </c>
    </row>
    <row r="179" spans="1:19" ht="87.75" customHeight="1" x14ac:dyDescent="0.3">
      <c r="A179" s="224"/>
      <c r="B179" s="63"/>
      <c r="C179" s="332" t="s">
        <v>491</v>
      </c>
      <c r="D179" s="455" t="s">
        <v>748</v>
      </c>
      <c r="E179" s="550">
        <f>45700</f>
        <v>45700</v>
      </c>
      <c r="F179" s="457">
        <f>54860</f>
        <v>54860</v>
      </c>
      <c r="G179" s="457">
        <f>54240</f>
        <v>54240</v>
      </c>
      <c r="H179" s="564">
        <f>4520*12</f>
        <v>54240</v>
      </c>
      <c r="I179" s="545">
        <f t="shared" si="30"/>
        <v>209040</v>
      </c>
      <c r="J179" s="458" t="s">
        <v>58</v>
      </c>
      <c r="K179" s="785" t="s">
        <v>727</v>
      </c>
      <c r="L179" s="819">
        <v>1</v>
      </c>
      <c r="M179" s="827">
        <v>1</v>
      </c>
      <c r="N179" s="821">
        <v>4520</v>
      </c>
      <c r="O179" s="822">
        <v>46</v>
      </c>
      <c r="P179" s="822" t="s">
        <v>583</v>
      </c>
      <c r="Q179" s="821">
        <v>1120</v>
      </c>
      <c r="R179" s="863">
        <f t="shared" si="31"/>
        <v>209040</v>
      </c>
    </row>
    <row r="180" spans="1:19" ht="64.5" customHeight="1" x14ac:dyDescent="0.3">
      <c r="A180" s="224"/>
      <c r="B180" s="63"/>
      <c r="C180" s="332" t="s">
        <v>492</v>
      </c>
      <c r="D180" s="455" t="s">
        <v>747</v>
      </c>
      <c r="E180" s="550">
        <f>70461</f>
        <v>70461</v>
      </c>
      <c r="F180" s="457">
        <f>79220</f>
        <v>79220</v>
      </c>
      <c r="G180" s="457">
        <f>6550*12</f>
        <v>78600</v>
      </c>
      <c r="H180" s="564">
        <f>6550*12</f>
        <v>78600</v>
      </c>
      <c r="I180" s="545">
        <f t="shared" si="30"/>
        <v>306881</v>
      </c>
      <c r="J180" s="458" t="s">
        <v>58</v>
      </c>
      <c r="K180" s="785" t="s">
        <v>676</v>
      </c>
      <c r="L180" s="819">
        <v>1</v>
      </c>
      <c r="M180" s="827">
        <v>1</v>
      </c>
      <c r="N180" s="821">
        <v>6550</v>
      </c>
      <c r="O180" s="822">
        <v>46</v>
      </c>
      <c r="P180" s="822" t="s">
        <v>583</v>
      </c>
      <c r="Q180" s="821">
        <f>5581</f>
        <v>5581</v>
      </c>
      <c r="R180" s="863">
        <f t="shared" si="31"/>
        <v>306881</v>
      </c>
    </row>
    <row r="181" spans="1:19" ht="75.75" customHeight="1" x14ac:dyDescent="0.3">
      <c r="A181" s="224"/>
      <c r="B181" s="63"/>
      <c r="C181" s="332" t="s">
        <v>493</v>
      </c>
      <c r="D181" s="455" t="s">
        <v>746</v>
      </c>
      <c r="E181" s="550"/>
      <c r="F181" s="457">
        <v>4865</v>
      </c>
      <c r="G181" s="457">
        <f>400*12</f>
        <v>4800</v>
      </c>
      <c r="H181" s="564">
        <f>400*12</f>
        <v>4800</v>
      </c>
      <c r="I181" s="545">
        <f t="shared" si="30"/>
        <v>14465</v>
      </c>
      <c r="J181" s="458" t="s">
        <v>58</v>
      </c>
      <c r="K181" s="785" t="s">
        <v>677</v>
      </c>
      <c r="L181" s="819">
        <v>1</v>
      </c>
      <c r="M181" s="827">
        <v>1</v>
      </c>
      <c r="N181" s="821">
        <v>400</v>
      </c>
      <c r="O181" s="822">
        <v>36</v>
      </c>
      <c r="P181" s="822" t="s">
        <v>583</v>
      </c>
      <c r="Q181" s="821">
        <f>65</f>
        <v>65</v>
      </c>
      <c r="R181" s="863">
        <f t="shared" si="31"/>
        <v>14465</v>
      </c>
    </row>
    <row r="182" spans="1:19" ht="71.25" customHeight="1" x14ac:dyDescent="0.3">
      <c r="A182" s="224"/>
      <c r="B182" s="138"/>
      <c r="C182" s="332" t="s">
        <v>494</v>
      </c>
      <c r="D182" s="455" t="s">
        <v>1079</v>
      </c>
      <c r="E182" s="550"/>
      <c r="F182" s="457">
        <f>21896.67</f>
        <v>21896.67</v>
      </c>
      <c r="G182" s="457"/>
      <c r="H182" s="564"/>
      <c r="I182" s="545">
        <f t="shared" si="30"/>
        <v>21896.67</v>
      </c>
      <c r="J182" s="456" t="s">
        <v>58</v>
      </c>
      <c r="K182" s="785" t="s">
        <v>773</v>
      </c>
      <c r="L182" s="819">
        <v>1</v>
      </c>
      <c r="M182" s="827">
        <v>1</v>
      </c>
      <c r="N182" s="821">
        <f>65690/3</f>
        <v>21896.666666666668</v>
      </c>
      <c r="O182" s="822">
        <v>1</v>
      </c>
      <c r="P182" s="822"/>
      <c r="Q182" s="821">
        <v>0</v>
      </c>
      <c r="R182" s="863">
        <f t="shared" si="31"/>
        <v>21896.666666666668</v>
      </c>
    </row>
    <row r="183" spans="1:19" ht="79.5" customHeight="1" x14ac:dyDescent="0.3">
      <c r="A183" s="224"/>
      <c r="B183" s="138"/>
      <c r="C183" s="332" t="s">
        <v>495</v>
      </c>
      <c r="D183" s="455" t="s">
        <v>496</v>
      </c>
      <c r="E183" s="550"/>
      <c r="F183" s="457">
        <v>58820</v>
      </c>
      <c r="G183" s="457"/>
      <c r="H183" s="564"/>
      <c r="I183" s="545">
        <f t="shared" si="30"/>
        <v>58820</v>
      </c>
      <c r="J183" s="456" t="s">
        <v>58</v>
      </c>
      <c r="K183" s="785" t="s">
        <v>497</v>
      </c>
      <c r="L183" s="819">
        <v>1</v>
      </c>
      <c r="M183" s="827">
        <v>2</v>
      </c>
      <c r="N183" s="821">
        <f>58820/2</f>
        <v>29410</v>
      </c>
      <c r="O183" s="822">
        <v>1</v>
      </c>
      <c r="P183" s="822"/>
      <c r="Q183" s="821">
        <v>0</v>
      </c>
      <c r="R183" s="863">
        <f t="shared" si="31"/>
        <v>58820</v>
      </c>
    </row>
    <row r="184" spans="1:19" ht="92.25" customHeight="1" x14ac:dyDescent="0.3">
      <c r="A184" s="224"/>
      <c r="B184" s="63"/>
      <c r="C184" s="277" t="s">
        <v>164</v>
      </c>
      <c r="D184" s="278" t="s">
        <v>745</v>
      </c>
      <c r="E184" s="567">
        <v>1550</v>
      </c>
      <c r="F184" s="568"/>
      <c r="G184" s="568"/>
      <c r="H184" s="568"/>
      <c r="I184" s="545">
        <f t="shared" si="30"/>
        <v>1550</v>
      </c>
      <c r="J184" s="279" t="s">
        <v>58</v>
      </c>
      <c r="K184" s="785" t="s">
        <v>609</v>
      </c>
      <c r="L184" s="819">
        <v>1</v>
      </c>
      <c r="M184" s="827">
        <v>1</v>
      </c>
      <c r="N184" s="821">
        <v>1550</v>
      </c>
      <c r="O184" s="822">
        <v>1</v>
      </c>
      <c r="P184" s="822" t="s">
        <v>590</v>
      </c>
      <c r="Q184" s="821">
        <v>0</v>
      </c>
      <c r="R184" s="863">
        <f t="shared" si="31"/>
        <v>1550</v>
      </c>
    </row>
    <row r="185" spans="1:19" ht="93" customHeight="1" x14ac:dyDescent="0.3">
      <c r="A185" s="224"/>
      <c r="B185" s="63"/>
      <c r="C185" s="332" t="s">
        <v>174</v>
      </c>
      <c r="D185" s="455" t="s">
        <v>175</v>
      </c>
      <c r="E185" s="550">
        <f>733</f>
        <v>733</v>
      </c>
      <c r="F185" s="457">
        <v>850</v>
      </c>
      <c r="G185" s="457">
        <f>10000</f>
        <v>10000</v>
      </c>
      <c r="H185" s="457">
        <f>3617</f>
        <v>3617</v>
      </c>
      <c r="I185" s="545">
        <f t="shared" si="30"/>
        <v>15200</v>
      </c>
      <c r="J185" s="458" t="s">
        <v>173</v>
      </c>
      <c r="K185" s="785" t="s">
        <v>774</v>
      </c>
      <c r="L185" s="866">
        <v>1</v>
      </c>
      <c r="M185" s="867">
        <v>1</v>
      </c>
      <c r="N185" s="868">
        <v>3800</v>
      </c>
      <c r="O185" s="868">
        <v>4</v>
      </c>
      <c r="P185" s="868" t="s">
        <v>590</v>
      </c>
      <c r="Q185" s="868"/>
      <c r="R185" s="863">
        <f t="shared" si="31"/>
        <v>15200</v>
      </c>
      <c r="S185" s="81"/>
    </row>
    <row r="186" spans="1:19" ht="111" customHeight="1" x14ac:dyDescent="0.3">
      <c r="A186" s="224"/>
      <c r="B186" s="63"/>
      <c r="C186" s="277" t="s">
        <v>177</v>
      </c>
      <c r="D186" s="278" t="s">
        <v>178</v>
      </c>
      <c r="E186" s="563">
        <v>9120</v>
      </c>
      <c r="F186" s="564">
        <v>690</v>
      </c>
      <c r="G186" s="564">
        <f>9200</f>
        <v>9200</v>
      </c>
      <c r="H186" s="564"/>
      <c r="I186" s="545">
        <f t="shared" si="30"/>
        <v>19010</v>
      </c>
      <c r="J186" s="279" t="s">
        <v>58</v>
      </c>
      <c r="K186" s="772" t="s">
        <v>610</v>
      </c>
      <c r="L186" s="866">
        <v>1</v>
      </c>
      <c r="M186" s="867">
        <v>1</v>
      </c>
      <c r="N186" s="868">
        <v>19010</v>
      </c>
      <c r="O186" s="868">
        <v>1</v>
      </c>
      <c r="P186" s="868" t="s">
        <v>590</v>
      </c>
      <c r="Q186" s="868">
        <v>0</v>
      </c>
      <c r="R186" s="863">
        <f t="shared" si="31"/>
        <v>19010</v>
      </c>
      <c r="S186" s="82"/>
    </row>
    <row r="187" spans="1:19" ht="78" customHeight="1" x14ac:dyDescent="0.3">
      <c r="A187" s="224"/>
      <c r="B187" s="204"/>
      <c r="C187" s="459" t="s">
        <v>717</v>
      </c>
      <c r="D187" s="451" t="s">
        <v>715</v>
      </c>
      <c r="E187" s="457"/>
      <c r="F187" s="457"/>
      <c r="G187" s="457"/>
      <c r="H187" s="457">
        <f>10000</f>
        <v>10000</v>
      </c>
      <c r="I187" s="461">
        <f t="shared" si="30"/>
        <v>10000</v>
      </c>
      <c r="J187" s="457" t="s">
        <v>58</v>
      </c>
      <c r="K187" s="791" t="s">
        <v>716</v>
      </c>
      <c r="L187" s="866">
        <v>1</v>
      </c>
      <c r="M187" s="867">
        <v>2</v>
      </c>
      <c r="N187" s="868">
        <v>5000</v>
      </c>
      <c r="O187" s="868">
        <v>1</v>
      </c>
      <c r="P187" s="868" t="s">
        <v>590</v>
      </c>
      <c r="Q187" s="868">
        <v>0</v>
      </c>
      <c r="R187" s="863">
        <f t="shared" ref="R187" si="32">(L187*M187*N187*O187)+Q187</f>
        <v>10000</v>
      </c>
      <c r="S187" s="401"/>
    </row>
    <row r="188" spans="1:19" ht="85.5" customHeight="1" x14ac:dyDescent="0.3">
      <c r="A188" s="224"/>
      <c r="B188" s="63"/>
      <c r="C188" s="332" t="s">
        <v>180</v>
      </c>
      <c r="D188" s="455" t="s">
        <v>498</v>
      </c>
      <c r="E188" s="606">
        <v>17750</v>
      </c>
      <c r="F188" s="460">
        <v>8000</v>
      </c>
      <c r="G188" s="460"/>
      <c r="H188" s="568"/>
      <c r="I188" s="545">
        <f t="shared" si="30"/>
        <v>25750</v>
      </c>
      <c r="J188" s="458" t="s">
        <v>58</v>
      </c>
      <c r="K188" s="785" t="s">
        <v>775</v>
      </c>
      <c r="L188" s="869">
        <v>1</v>
      </c>
      <c r="M188" s="870">
        <v>1</v>
      </c>
      <c r="N188" s="853">
        <v>25750</v>
      </c>
      <c r="O188" s="853">
        <v>1</v>
      </c>
      <c r="P188" s="871"/>
      <c r="Q188" s="872">
        <v>0</v>
      </c>
      <c r="R188" s="863">
        <f t="shared" si="31"/>
        <v>25750</v>
      </c>
      <c r="S188" s="5"/>
    </row>
    <row r="189" spans="1:19" ht="84.75" customHeight="1" x14ac:dyDescent="0.3">
      <c r="A189" s="224"/>
      <c r="B189" s="63"/>
      <c r="C189" s="340" t="s">
        <v>499</v>
      </c>
      <c r="D189" s="455" t="s">
        <v>868</v>
      </c>
      <c r="E189" s="550">
        <v>10850</v>
      </c>
      <c r="F189" s="457">
        <v>16590</v>
      </c>
      <c r="G189" s="457">
        <f>16933+5000</f>
        <v>21933</v>
      </c>
      <c r="H189" s="568">
        <f>7120</f>
        <v>7120</v>
      </c>
      <c r="I189" s="545">
        <f t="shared" si="30"/>
        <v>56493</v>
      </c>
      <c r="J189" s="279" t="s">
        <v>58</v>
      </c>
      <c r="K189" s="785" t="s">
        <v>874</v>
      </c>
      <c r="L189" s="866">
        <v>13</v>
      </c>
      <c r="M189" s="867">
        <v>6</v>
      </c>
      <c r="N189" s="868">
        <v>170</v>
      </c>
      <c r="O189" s="868">
        <v>4</v>
      </c>
      <c r="P189" s="868" t="s">
        <v>581</v>
      </c>
      <c r="Q189" s="868">
        <f>3453</f>
        <v>3453</v>
      </c>
      <c r="R189" s="863">
        <f t="shared" si="31"/>
        <v>56493</v>
      </c>
    </row>
    <row r="190" spans="1:19" ht="78.75" customHeight="1" x14ac:dyDescent="0.3">
      <c r="A190" s="224"/>
      <c r="B190" s="1092"/>
      <c r="C190" s="1606" t="s">
        <v>500</v>
      </c>
      <c r="D190" s="1607" t="s">
        <v>863</v>
      </c>
      <c r="E190" s="1608"/>
      <c r="F190" s="1594"/>
      <c r="G190" s="1594">
        <f>43211</f>
        <v>43211</v>
      </c>
      <c r="H190" s="1677"/>
      <c r="I190" s="1595">
        <f t="shared" si="30"/>
        <v>43211</v>
      </c>
      <c r="J190" s="326" t="s">
        <v>58</v>
      </c>
      <c r="K190" s="1621" t="s">
        <v>1054</v>
      </c>
      <c r="L190" s="866">
        <v>1</v>
      </c>
      <c r="M190" s="867">
        <v>2</v>
      </c>
      <c r="N190" s="868">
        <v>600</v>
      </c>
      <c r="O190" s="868">
        <v>30</v>
      </c>
      <c r="P190" s="868" t="s">
        <v>581</v>
      </c>
      <c r="Q190" s="868">
        <f>7211</f>
        <v>7211</v>
      </c>
      <c r="R190" s="863">
        <f t="shared" si="31"/>
        <v>43211</v>
      </c>
    </row>
    <row r="191" spans="1:19" ht="78.75" customHeight="1" x14ac:dyDescent="0.3">
      <c r="A191" s="224"/>
      <c r="B191" s="1092"/>
      <c r="C191" s="1605" t="s">
        <v>501</v>
      </c>
      <c r="D191" s="1585" t="s">
        <v>502</v>
      </c>
      <c r="E191" s="1592"/>
      <c r="F191" s="1593"/>
      <c r="G191" s="1593">
        <f>700</f>
        <v>700</v>
      </c>
      <c r="H191" s="1593">
        <f>4000</f>
        <v>4000</v>
      </c>
      <c r="I191" s="213">
        <f t="shared" si="30"/>
        <v>4700</v>
      </c>
      <c r="J191" s="326" t="s">
        <v>58</v>
      </c>
      <c r="K191" s="1676" t="s">
        <v>776</v>
      </c>
      <c r="L191" s="819">
        <v>2</v>
      </c>
      <c r="M191" s="873">
        <v>50</v>
      </c>
      <c r="N191" s="871">
        <v>20</v>
      </c>
      <c r="O191" s="853">
        <v>2</v>
      </c>
      <c r="P191" s="853" t="s">
        <v>581</v>
      </c>
      <c r="Q191" s="871">
        <f>700</f>
        <v>700</v>
      </c>
      <c r="R191" s="823">
        <f t="shared" ref="R191:R199" si="33">(L191*M191*N191*O191)+Q191</f>
        <v>4700</v>
      </c>
    </row>
    <row r="192" spans="1:19" ht="89.25" customHeight="1" x14ac:dyDescent="0.3">
      <c r="A192" s="224"/>
      <c r="B192" s="63"/>
      <c r="C192" s="341" t="s">
        <v>503</v>
      </c>
      <c r="D192" s="278" t="s">
        <v>864</v>
      </c>
      <c r="E192" s="563"/>
      <c r="F192" s="564"/>
      <c r="G192" s="564"/>
      <c r="H192" s="568">
        <v>45000</v>
      </c>
      <c r="I192" s="988">
        <f t="shared" si="30"/>
        <v>45000</v>
      </c>
      <c r="J192" s="279" t="s">
        <v>58</v>
      </c>
      <c r="K192" s="772" t="s">
        <v>865</v>
      </c>
      <c r="L192" s="866">
        <v>1</v>
      </c>
      <c r="M192" s="867">
        <v>2</v>
      </c>
      <c r="N192" s="868">
        <v>600</v>
      </c>
      <c r="O192" s="868">
        <v>25</v>
      </c>
      <c r="P192" s="868" t="s">
        <v>581</v>
      </c>
      <c r="Q192" s="868">
        <f>10000+5000</f>
        <v>15000</v>
      </c>
      <c r="R192" s="863">
        <f t="shared" si="33"/>
        <v>45000</v>
      </c>
    </row>
    <row r="193" spans="1:19" ht="139.5" customHeight="1" x14ac:dyDescent="0.3">
      <c r="A193" s="224"/>
      <c r="B193" s="204"/>
      <c r="C193" s="454" t="s">
        <v>504</v>
      </c>
      <c r="D193" s="455" t="s">
        <v>679</v>
      </c>
      <c r="E193" s="550"/>
      <c r="F193" s="457"/>
      <c r="G193" s="457"/>
      <c r="H193" s="568">
        <v>11150</v>
      </c>
      <c r="I193" s="573">
        <f t="shared" si="30"/>
        <v>11150</v>
      </c>
      <c r="J193" s="456" t="s">
        <v>732</v>
      </c>
      <c r="K193" s="791" t="s">
        <v>777</v>
      </c>
      <c r="L193" s="819">
        <v>1</v>
      </c>
      <c r="M193" s="820">
        <v>45</v>
      </c>
      <c r="N193" s="821">
        <v>35</v>
      </c>
      <c r="O193" s="822">
        <v>2</v>
      </c>
      <c r="P193" s="822" t="s">
        <v>581</v>
      </c>
      <c r="Q193" s="821">
        <f>(500*6)+5000</f>
        <v>8000</v>
      </c>
      <c r="R193" s="828">
        <f>(L193*M193*N193*O193)+Q193</f>
        <v>11150</v>
      </c>
    </row>
    <row r="194" spans="1:19" ht="87.75" customHeight="1" x14ac:dyDescent="0.3">
      <c r="A194" s="224"/>
      <c r="B194" s="63"/>
      <c r="C194" s="340" t="s">
        <v>505</v>
      </c>
      <c r="D194" s="455" t="s">
        <v>506</v>
      </c>
      <c r="E194" s="550"/>
      <c r="F194" s="457">
        <v>8050</v>
      </c>
      <c r="G194" s="457">
        <f>4730</f>
        <v>4730</v>
      </c>
      <c r="H194" s="568">
        <f>6000</f>
        <v>6000</v>
      </c>
      <c r="I194" s="545">
        <f t="shared" si="30"/>
        <v>18780</v>
      </c>
      <c r="J194" s="279" t="s">
        <v>58</v>
      </c>
      <c r="K194" s="785" t="s">
        <v>1055</v>
      </c>
      <c r="L194" s="866">
        <v>1</v>
      </c>
      <c r="M194" s="867">
        <v>1</v>
      </c>
      <c r="N194" s="868">
        <f>18780/4</f>
        <v>4695</v>
      </c>
      <c r="O194" s="868">
        <v>4</v>
      </c>
      <c r="P194" s="868" t="s">
        <v>590</v>
      </c>
      <c r="Q194" s="868"/>
      <c r="R194" s="823">
        <f t="shared" si="33"/>
        <v>18780</v>
      </c>
    </row>
    <row r="195" spans="1:19" ht="87.75" customHeight="1" x14ac:dyDescent="0.3">
      <c r="A195" s="224"/>
      <c r="B195" s="204"/>
      <c r="C195" s="449" t="s">
        <v>680</v>
      </c>
      <c r="D195" s="278" t="s">
        <v>681</v>
      </c>
      <c r="E195" s="563"/>
      <c r="F195" s="564"/>
      <c r="G195" s="564"/>
      <c r="H195" s="568">
        <v>5000</v>
      </c>
      <c r="I195" s="551">
        <f t="shared" si="30"/>
        <v>5000</v>
      </c>
      <c r="J195" s="456" t="s">
        <v>682</v>
      </c>
      <c r="K195" s="645" t="s">
        <v>683</v>
      </c>
      <c r="L195" s="819">
        <v>1</v>
      </c>
      <c r="M195" s="820">
        <v>1000</v>
      </c>
      <c r="N195" s="871">
        <v>5</v>
      </c>
      <c r="O195" s="822">
        <v>1</v>
      </c>
      <c r="P195" s="822" t="s">
        <v>581</v>
      </c>
      <c r="Q195" s="871"/>
      <c r="R195" s="828">
        <f>(L195*M195*N195*O195)+Q195</f>
        <v>5000</v>
      </c>
    </row>
    <row r="196" spans="1:19" ht="69" customHeight="1" x14ac:dyDescent="0.3">
      <c r="A196" s="224"/>
      <c r="B196" s="63"/>
      <c r="C196" s="342" t="s">
        <v>507</v>
      </c>
      <c r="D196" s="495" t="s">
        <v>744</v>
      </c>
      <c r="E196" s="606">
        <v>0</v>
      </c>
      <c r="F196" s="460">
        <v>6500</v>
      </c>
      <c r="G196" s="460">
        <v>6500</v>
      </c>
      <c r="H196" s="568"/>
      <c r="I196" s="545">
        <f t="shared" si="30"/>
        <v>13000</v>
      </c>
      <c r="J196" s="458" t="s">
        <v>58</v>
      </c>
      <c r="K196" s="785" t="s">
        <v>509</v>
      </c>
      <c r="L196" s="866">
        <v>1</v>
      </c>
      <c r="M196" s="867">
        <v>3</v>
      </c>
      <c r="N196" s="868">
        <v>2166.67</v>
      </c>
      <c r="O196" s="868">
        <v>2</v>
      </c>
      <c r="P196" s="868" t="s">
        <v>590</v>
      </c>
      <c r="Q196" s="881">
        <f>-0.02</f>
        <v>-0.02</v>
      </c>
      <c r="R196" s="828">
        <f>(L196*M196*N196*O196)+Q196</f>
        <v>13000</v>
      </c>
    </row>
    <row r="197" spans="1:19" ht="78.75" customHeight="1" x14ac:dyDescent="0.3">
      <c r="A197" s="224"/>
      <c r="B197" s="63"/>
      <c r="C197" s="332" t="s">
        <v>510</v>
      </c>
      <c r="D197" s="455" t="s">
        <v>743</v>
      </c>
      <c r="E197" s="550">
        <v>15230</v>
      </c>
      <c r="F197" s="457">
        <v>10990</v>
      </c>
      <c r="G197" s="457">
        <f>4000</f>
        <v>4000</v>
      </c>
      <c r="H197" s="568">
        <v>2000</v>
      </c>
      <c r="I197" s="545">
        <f t="shared" si="30"/>
        <v>32220</v>
      </c>
      <c r="J197" s="279" t="s">
        <v>734</v>
      </c>
      <c r="K197" s="785" t="s">
        <v>890</v>
      </c>
      <c r="L197" s="866">
        <v>1</v>
      </c>
      <c r="M197" s="867">
        <v>1</v>
      </c>
      <c r="N197" s="868">
        <f>32220/4</f>
        <v>8055</v>
      </c>
      <c r="O197" s="868">
        <v>4</v>
      </c>
      <c r="P197" s="868" t="s">
        <v>590</v>
      </c>
      <c r="Q197" s="868">
        <v>0</v>
      </c>
      <c r="R197" s="863">
        <f t="shared" si="33"/>
        <v>32220</v>
      </c>
      <c r="S197" s="81"/>
    </row>
    <row r="198" spans="1:19" ht="78.75" customHeight="1" x14ac:dyDescent="0.3">
      <c r="A198" s="224"/>
      <c r="B198" s="204"/>
      <c r="C198" s="454" t="s">
        <v>570</v>
      </c>
      <c r="D198" s="455" t="s">
        <v>684</v>
      </c>
      <c r="E198" s="606"/>
      <c r="F198" s="460"/>
      <c r="G198" s="460"/>
      <c r="H198" s="568"/>
      <c r="I198" s="551">
        <f t="shared" ref="I198" si="34">SUM(E198:H198)</f>
        <v>0</v>
      </c>
      <c r="J198" s="514" t="s">
        <v>735</v>
      </c>
      <c r="K198" s="791"/>
      <c r="L198" s="874"/>
      <c r="M198" s="875"/>
      <c r="N198" s="876"/>
      <c r="O198" s="876"/>
      <c r="P198" s="876"/>
      <c r="Q198" s="876"/>
      <c r="R198" s="864"/>
    </row>
    <row r="199" spans="1:19" ht="78.75" customHeight="1" x14ac:dyDescent="0.3">
      <c r="A199" s="224"/>
      <c r="B199" s="63"/>
      <c r="C199" s="332" t="s">
        <v>511</v>
      </c>
      <c r="D199" s="455" t="s">
        <v>742</v>
      </c>
      <c r="E199" s="550"/>
      <c r="F199" s="457">
        <v>11260</v>
      </c>
      <c r="G199" s="457">
        <v>20000</v>
      </c>
      <c r="H199" s="568">
        <f>30000</f>
        <v>30000</v>
      </c>
      <c r="I199" s="545">
        <f t="shared" si="30"/>
        <v>61260</v>
      </c>
      <c r="J199" s="279" t="s">
        <v>296</v>
      </c>
      <c r="K199" s="785" t="s">
        <v>897</v>
      </c>
      <c r="L199" s="866">
        <v>1</v>
      </c>
      <c r="M199" s="867">
        <v>2</v>
      </c>
      <c r="N199" s="868">
        <f>2552.5/2</f>
        <v>1276.25</v>
      </c>
      <c r="O199" s="868">
        <v>24</v>
      </c>
      <c r="P199" s="868" t="s">
        <v>583</v>
      </c>
      <c r="Q199" s="868"/>
      <c r="R199" s="863">
        <f t="shared" si="33"/>
        <v>61260</v>
      </c>
    </row>
    <row r="200" spans="1:19" ht="33" customHeight="1" thickBot="1" x14ac:dyDescent="0.35">
      <c r="A200" s="224"/>
      <c r="B200" s="138"/>
      <c r="C200" s="340"/>
      <c r="D200" s="455"/>
      <c r="E200" s="550"/>
      <c r="F200" s="457"/>
      <c r="G200" s="457"/>
      <c r="H200" s="457"/>
      <c r="I200" s="607"/>
      <c r="J200" s="279"/>
      <c r="K200" s="785"/>
      <c r="L200" s="843"/>
      <c r="M200" s="827"/>
      <c r="N200" s="821"/>
      <c r="O200" s="822"/>
      <c r="P200" s="822"/>
      <c r="Q200" s="821"/>
      <c r="R200" s="823"/>
    </row>
    <row r="201" spans="1:19" ht="32.25" customHeight="1" thickBot="1" x14ac:dyDescent="0.35">
      <c r="A201" s="224"/>
      <c r="B201" s="343" t="s">
        <v>45</v>
      </c>
      <c r="C201" s="344"/>
      <c r="D201" s="496"/>
      <c r="E201" s="608">
        <f>SUM(E178:E200)</f>
        <v>171394</v>
      </c>
      <c r="F201" s="608">
        <f>SUM(F178:F200)</f>
        <v>282803.67</v>
      </c>
      <c r="G201" s="608">
        <f>SUM(G178:G200)</f>
        <v>260702</v>
      </c>
      <c r="H201" s="608">
        <f>SUM(H178:H200)</f>
        <v>263327</v>
      </c>
      <c r="I201" s="608">
        <f>SUM(I178:I200)</f>
        <v>978226.67</v>
      </c>
      <c r="J201" s="527"/>
      <c r="K201" s="795"/>
      <c r="L201" s="819"/>
      <c r="M201" s="877"/>
      <c r="N201" s="878"/>
      <c r="O201" s="878"/>
      <c r="P201" s="878"/>
      <c r="Q201" s="878"/>
      <c r="R201" s="879">
        <f>SUM(R178:R200)</f>
        <v>978226.66666666663</v>
      </c>
    </row>
    <row r="202" spans="1:19" ht="20.25" x14ac:dyDescent="0.3">
      <c r="A202" s="224"/>
      <c r="B202" s="142"/>
      <c r="C202" s="64"/>
      <c r="D202" s="209"/>
      <c r="E202" s="212"/>
      <c r="F202" s="61"/>
      <c r="G202" s="61"/>
      <c r="H202" s="61"/>
      <c r="I202" s="213"/>
      <c r="J202" s="528"/>
      <c r="K202" s="769"/>
      <c r="L202" s="819"/>
      <c r="M202" s="827"/>
      <c r="N202" s="821"/>
      <c r="O202" s="822"/>
      <c r="P202" s="822"/>
      <c r="Q202" s="821"/>
      <c r="R202" s="865"/>
    </row>
    <row r="203" spans="1:19" ht="121.5" customHeight="1" x14ac:dyDescent="0.3">
      <c r="A203" s="288" t="s">
        <v>184</v>
      </c>
      <c r="B203" s="2654" t="s">
        <v>879</v>
      </c>
      <c r="C203" s="2655"/>
      <c r="D203" s="300"/>
      <c r="E203" s="571"/>
      <c r="F203" s="572"/>
      <c r="G203" s="572"/>
      <c r="H203" s="572"/>
      <c r="I203" s="573"/>
      <c r="J203" s="345"/>
      <c r="K203" s="776"/>
      <c r="L203" s="819"/>
      <c r="M203" s="827"/>
      <c r="N203" s="821"/>
      <c r="O203" s="822"/>
      <c r="P203" s="822"/>
      <c r="Q203" s="821"/>
      <c r="R203" s="865"/>
    </row>
    <row r="204" spans="1:19" ht="39.75" customHeight="1" x14ac:dyDescent="0.3">
      <c r="A204" s="288"/>
      <c r="B204" s="2646" t="s">
        <v>880</v>
      </c>
      <c r="C204" s="2647"/>
      <c r="D204" s="2648"/>
      <c r="E204" s="560"/>
      <c r="F204" s="561"/>
      <c r="G204" s="561"/>
      <c r="H204" s="561"/>
      <c r="I204" s="545"/>
      <c r="J204" s="513"/>
      <c r="K204" s="769"/>
      <c r="L204" s="819"/>
      <c r="M204" s="827"/>
      <c r="N204" s="821"/>
      <c r="O204" s="822"/>
      <c r="P204" s="822"/>
      <c r="Q204" s="821"/>
      <c r="R204" s="865"/>
    </row>
    <row r="205" spans="1:19" ht="409.6" customHeight="1" x14ac:dyDescent="0.3">
      <c r="A205" s="288"/>
      <c r="B205" s="2649" t="s">
        <v>882</v>
      </c>
      <c r="C205" s="2650"/>
      <c r="D205" s="2650"/>
      <c r="E205" s="212"/>
      <c r="F205" s="61"/>
      <c r="G205" s="61"/>
      <c r="H205" s="61"/>
      <c r="I205" s="213"/>
      <c r="J205" s="513"/>
      <c r="K205" s="769"/>
      <c r="L205" s="819"/>
      <c r="M205" s="827"/>
      <c r="N205" s="821"/>
      <c r="O205" s="822"/>
      <c r="P205" s="822"/>
      <c r="Q205" s="821"/>
      <c r="R205" s="865"/>
    </row>
    <row r="206" spans="1:19" ht="252" customHeight="1" x14ac:dyDescent="0.3">
      <c r="A206" s="288"/>
      <c r="B206" s="2649" t="s">
        <v>881</v>
      </c>
      <c r="C206" s="2650"/>
      <c r="D206" s="2650"/>
      <c r="E206" s="212"/>
      <c r="F206" s="61"/>
      <c r="G206" s="61"/>
      <c r="H206" s="61"/>
      <c r="I206" s="213"/>
      <c r="J206" s="513"/>
      <c r="K206" s="769"/>
      <c r="L206" s="819"/>
      <c r="M206" s="827"/>
      <c r="N206" s="821"/>
      <c r="O206" s="822"/>
      <c r="P206" s="822"/>
      <c r="Q206" s="821"/>
      <c r="R206" s="865"/>
    </row>
    <row r="207" spans="1:19" ht="94.5" customHeight="1" x14ac:dyDescent="0.3">
      <c r="A207" s="346"/>
      <c r="B207" s="347"/>
      <c r="C207" s="348" t="s">
        <v>186</v>
      </c>
      <c r="D207" s="497" t="s">
        <v>187</v>
      </c>
      <c r="E207" s="609"/>
      <c r="F207" s="548">
        <f>24600</f>
        <v>24600</v>
      </c>
      <c r="G207" s="548">
        <f>20100</f>
        <v>20100</v>
      </c>
      <c r="H207" s="548">
        <v>19263.7</v>
      </c>
      <c r="I207" s="607">
        <f>SUM(E207:H207)</f>
        <v>63963.7</v>
      </c>
      <c r="J207" s="529" t="s">
        <v>169</v>
      </c>
      <c r="K207" s="796" t="s">
        <v>1060</v>
      </c>
      <c r="L207" s="866">
        <v>3</v>
      </c>
      <c r="M207" s="867">
        <v>45</v>
      </c>
      <c r="N207" s="868">
        <v>150</v>
      </c>
      <c r="O207" s="868">
        <v>3</v>
      </c>
      <c r="P207" s="868" t="s">
        <v>579</v>
      </c>
      <c r="Q207" s="868">
        <f>3213.7</f>
        <v>3213.7</v>
      </c>
      <c r="R207" s="863">
        <f t="shared" ref="R207:R225" si="35">(L207*M207*N207*O207)+Q207</f>
        <v>63963.7</v>
      </c>
      <c r="S207" s="81"/>
    </row>
    <row r="208" spans="1:19" ht="81.75" customHeight="1" x14ac:dyDescent="0.3">
      <c r="A208" s="224"/>
      <c r="B208" s="462"/>
      <c r="C208" s="444" t="s">
        <v>186</v>
      </c>
      <c r="D208" s="278" t="s">
        <v>685</v>
      </c>
      <c r="E208" s="563"/>
      <c r="F208" s="564"/>
      <c r="G208" s="564"/>
      <c r="H208" s="548">
        <v>4725</v>
      </c>
      <c r="I208" s="607">
        <f>SUM(E208:H208)</f>
        <v>4725</v>
      </c>
      <c r="J208" s="356" t="s">
        <v>58</v>
      </c>
      <c r="K208" s="645" t="s">
        <v>875</v>
      </c>
      <c r="L208" s="819">
        <v>1</v>
      </c>
      <c r="M208" s="820">
        <v>50</v>
      </c>
      <c r="N208" s="821">
        <v>40</v>
      </c>
      <c r="O208" s="822">
        <v>2</v>
      </c>
      <c r="P208" s="822" t="s">
        <v>581</v>
      </c>
      <c r="Q208" s="821">
        <f>725</f>
        <v>725</v>
      </c>
      <c r="R208" s="823">
        <f>(L208*M208*N208*O208)+Q208</f>
        <v>4725</v>
      </c>
      <c r="S208" s="81"/>
    </row>
    <row r="209" spans="1:19" ht="88.5" customHeight="1" x14ac:dyDescent="0.3">
      <c r="A209" s="224"/>
      <c r="B209" s="231"/>
      <c r="C209" s="207" t="s">
        <v>189</v>
      </c>
      <c r="D209" s="498" t="s">
        <v>190</v>
      </c>
      <c r="E209" s="595">
        <v>1900</v>
      </c>
      <c r="F209" s="596">
        <v>7200</v>
      </c>
      <c r="G209" s="596">
        <f>5453.13+854</f>
        <v>6307.13</v>
      </c>
      <c r="H209" s="596"/>
      <c r="I209" s="545">
        <f t="shared" ref="I209:I226" si="36">SUM(E209:H209)</f>
        <v>15407.130000000001</v>
      </c>
      <c r="J209" s="326" t="s">
        <v>169</v>
      </c>
      <c r="K209" s="781" t="s">
        <v>1058</v>
      </c>
      <c r="L209" s="866">
        <v>1</v>
      </c>
      <c r="M209" s="867">
        <v>1</v>
      </c>
      <c r="N209" s="868">
        <v>600</v>
      </c>
      <c r="O209" s="868">
        <v>15</v>
      </c>
      <c r="P209" s="868" t="s">
        <v>579</v>
      </c>
      <c r="Q209" s="868">
        <f>6407.13</f>
        <v>6407.13</v>
      </c>
      <c r="R209" s="863">
        <f t="shared" si="35"/>
        <v>15407.130000000001</v>
      </c>
    </row>
    <row r="210" spans="1:19" ht="112.5" customHeight="1" x14ac:dyDescent="0.3">
      <c r="A210" s="233"/>
      <c r="B210" s="1092"/>
      <c r="C210" s="207" t="s">
        <v>194</v>
      </c>
      <c r="D210" s="1591" t="s">
        <v>554</v>
      </c>
      <c r="E210" s="1615">
        <f>14700</f>
        <v>14700</v>
      </c>
      <c r="F210" s="1593"/>
      <c r="G210" s="1593"/>
      <c r="H210" s="1593"/>
      <c r="I210" s="1595">
        <f t="shared" si="36"/>
        <v>14700</v>
      </c>
      <c r="J210" s="326" t="s">
        <v>58</v>
      </c>
      <c r="K210" s="1596" t="s">
        <v>612</v>
      </c>
      <c r="L210" s="866">
        <v>1</v>
      </c>
      <c r="M210" s="867">
        <v>10</v>
      </c>
      <c r="N210" s="868">
        <v>250</v>
      </c>
      <c r="O210" s="868">
        <v>4</v>
      </c>
      <c r="P210" s="868" t="s">
        <v>581</v>
      </c>
      <c r="Q210" s="868">
        <f>4700</f>
        <v>4700</v>
      </c>
      <c r="R210" s="863">
        <f t="shared" si="35"/>
        <v>14700</v>
      </c>
    </row>
    <row r="211" spans="1:19" ht="72.75" customHeight="1" x14ac:dyDescent="0.3">
      <c r="A211" s="233"/>
      <c r="B211" s="1092"/>
      <c r="C211" s="1609" t="s">
        <v>555</v>
      </c>
      <c r="D211" s="1610" t="s">
        <v>513</v>
      </c>
      <c r="E211" s="1611">
        <v>1700</v>
      </c>
      <c r="F211" s="1612"/>
      <c r="G211" s="1612"/>
      <c r="H211" s="1593"/>
      <c r="I211" s="213">
        <f t="shared" si="36"/>
        <v>1700</v>
      </c>
      <c r="J211" s="1613" t="s">
        <v>58</v>
      </c>
      <c r="K211" s="1614" t="s">
        <v>613</v>
      </c>
      <c r="L211" s="866">
        <v>1</v>
      </c>
      <c r="M211" s="867">
        <v>200</v>
      </c>
      <c r="N211" s="868">
        <v>8.5</v>
      </c>
      <c r="O211" s="868">
        <v>1</v>
      </c>
      <c r="P211" s="868" t="s">
        <v>579</v>
      </c>
      <c r="Q211" s="868"/>
      <c r="R211" s="863">
        <f t="shared" si="35"/>
        <v>1700</v>
      </c>
    </row>
    <row r="212" spans="1:19" ht="63.75" customHeight="1" x14ac:dyDescent="0.3">
      <c r="A212" s="224"/>
      <c r="B212" s="63"/>
      <c r="C212" s="1672" t="s">
        <v>197</v>
      </c>
      <c r="D212" s="502" t="s">
        <v>1081</v>
      </c>
      <c r="E212" s="1673"/>
      <c r="F212" s="1094">
        <f>22326</f>
        <v>22326</v>
      </c>
      <c r="G212" s="1094"/>
      <c r="H212" s="1674"/>
      <c r="I212" s="1675">
        <f t="shared" si="36"/>
        <v>22326</v>
      </c>
      <c r="J212" s="458" t="s">
        <v>58</v>
      </c>
      <c r="K212" s="785" t="s">
        <v>1080</v>
      </c>
      <c r="L212" s="866">
        <v>1</v>
      </c>
      <c r="M212" s="867">
        <v>26</v>
      </c>
      <c r="N212" s="868">
        <v>858.7</v>
      </c>
      <c r="O212" s="868">
        <v>1</v>
      </c>
      <c r="P212" s="868" t="s">
        <v>579</v>
      </c>
      <c r="Q212" s="880">
        <f>-0.2</f>
        <v>-0.2</v>
      </c>
      <c r="R212" s="863">
        <f t="shared" si="35"/>
        <v>22326</v>
      </c>
    </row>
    <row r="213" spans="1:19" ht="44.25" customHeight="1" x14ac:dyDescent="0.3">
      <c r="A213" s="224"/>
      <c r="B213" s="159"/>
      <c r="C213" s="351" t="s">
        <v>514</v>
      </c>
      <c r="D213" s="484" t="s">
        <v>557</v>
      </c>
      <c r="E213" s="576"/>
      <c r="F213" s="552">
        <v>2220</v>
      </c>
      <c r="G213" s="457"/>
      <c r="H213" s="596"/>
      <c r="I213" s="545">
        <f t="shared" si="36"/>
        <v>2220</v>
      </c>
      <c r="J213" s="458" t="s">
        <v>58</v>
      </c>
      <c r="K213" s="785" t="s">
        <v>558</v>
      </c>
      <c r="L213" s="866">
        <v>1</v>
      </c>
      <c r="M213" s="867">
        <v>6</v>
      </c>
      <c r="N213" s="868">
        <v>370</v>
      </c>
      <c r="O213" s="868">
        <v>1</v>
      </c>
      <c r="P213" s="868" t="s">
        <v>579</v>
      </c>
      <c r="Q213" s="868"/>
      <c r="R213" s="863">
        <f t="shared" si="35"/>
        <v>2220</v>
      </c>
    </row>
    <row r="214" spans="1:19" ht="48.75" customHeight="1" x14ac:dyDescent="0.3">
      <c r="A214" s="224"/>
      <c r="B214" s="159"/>
      <c r="C214" s="351" t="s">
        <v>515</v>
      </c>
      <c r="D214" s="484" t="s">
        <v>516</v>
      </c>
      <c r="E214" s="576"/>
      <c r="F214" s="552">
        <v>5100</v>
      </c>
      <c r="G214" s="457"/>
      <c r="H214" s="596"/>
      <c r="I214" s="545">
        <f t="shared" si="36"/>
        <v>5100</v>
      </c>
      <c r="J214" s="458" t="s">
        <v>58</v>
      </c>
      <c r="K214" s="785" t="s">
        <v>517</v>
      </c>
      <c r="L214" s="866">
        <v>1</v>
      </c>
      <c r="M214" s="867">
        <v>2</v>
      </c>
      <c r="N214" s="868">
        <v>2550</v>
      </c>
      <c r="O214" s="868">
        <v>1</v>
      </c>
      <c r="P214" s="868" t="s">
        <v>579</v>
      </c>
      <c r="Q214" s="868">
        <v>0</v>
      </c>
      <c r="R214" s="863">
        <f t="shared" si="35"/>
        <v>5100</v>
      </c>
    </row>
    <row r="215" spans="1:19" ht="114" customHeight="1" x14ac:dyDescent="0.3">
      <c r="A215" s="224"/>
      <c r="B215" s="159"/>
      <c r="C215" s="350" t="s">
        <v>200</v>
      </c>
      <c r="D215" s="455" t="s">
        <v>904</v>
      </c>
      <c r="E215" s="550">
        <f>20000</f>
        <v>20000</v>
      </c>
      <c r="F215" s="457"/>
      <c r="G215" s="457"/>
      <c r="H215" s="596"/>
      <c r="I215" s="545">
        <f t="shared" si="36"/>
        <v>20000</v>
      </c>
      <c r="J215" s="458" t="s">
        <v>58</v>
      </c>
      <c r="K215" s="785" t="s">
        <v>780</v>
      </c>
      <c r="L215" s="866">
        <v>1</v>
      </c>
      <c r="M215" s="867">
        <v>12</v>
      </c>
      <c r="N215" s="868">
        <v>250</v>
      </c>
      <c r="O215" s="868">
        <v>5</v>
      </c>
      <c r="P215" s="868" t="s">
        <v>579</v>
      </c>
      <c r="Q215" s="868">
        <f>5000</f>
        <v>5000</v>
      </c>
      <c r="R215" s="863">
        <f t="shared" si="35"/>
        <v>20000</v>
      </c>
    </row>
    <row r="216" spans="1:19" ht="63" customHeight="1" x14ac:dyDescent="0.3">
      <c r="A216" s="224"/>
      <c r="B216" s="159"/>
      <c r="C216" s="350" t="s">
        <v>205</v>
      </c>
      <c r="D216" s="455" t="s">
        <v>686</v>
      </c>
      <c r="E216" s="550">
        <v>7600</v>
      </c>
      <c r="F216" s="457">
        <v>3100</v>
      </c>
      <c r="G216" s="457">
        <f>3750.4</f>
        <v>3750.4</v>
      </c>
      <c r="H216" s="596">
        <f>10996</f>
        <v>10996</v>
      </c>
      <c r="I216" s="545">
        <f t="shared" si="36"/>
        <v>25446.400000000001</v>
      </c>
      <c r="J216" s="458" t="s">
        <v>206</v>
      </c>
      <c r="K216" s="785" t="s">
        <v>883</v>
      </c>
      <c r="L216" s="866">
        <v>4</v>
      </c>
      <c r="M216" s="867">
        <v>2</v>
      </c>
      <c r="N216" s="868">
        <f>795.2</f>
        <v>795.2</v>
      </c>
      <c r="O216" s="868">
        <v>4</v>
      </c>
      <c r="P216" s="868" t="s">
        <v>590</v>
      </c>
      <c r="Q216" s="881"/>
      <c r="R216" s="863">
        <f t="shared" si="35"/>
        <v>25446.400000000001</v>
      </c>
    </row>
    <row r="217" spans="1:19" ht="68.25" customHeight="1" x14ac:dyDescent="0.3">
      <c r="A217" s="224"/>
      <c r="B217" s="159"/>
      <c r="C217" s="350" t="s">
        <v>518</v>
      </c>
      <c r="D217" s="455" t="s">
        <v>519</v>
      </c>
      <c r="E217" s="550"/>
      <c r="F217" s="457"/>
      <c r="G217" s="457">
        <f>4100</f>
        <v>4100</v>
      </c>
      <c r="H217" s="596"/>
      <c r="I217" s="545">
        <f t="shared" si="36"/>
        <v>4100</v>
      </c>
      <c r="J217" s="458" t="s">
        <v>206</v>
      </c>
      <c r="K217" s="785" t="s">
        <v>762</v>
      </c>
      <c r="L217" s="819">
        <v>1</v>
      </c>
      <c r="M217" s="852">
        <v>1</v>
      </c>
      <c r="N217" s="871">
        <v>4100</v>
      </c>
      <c r="O217" s="853">
        <v>1</v>
      </c>
      <c r="P217" s="853" t="s">
        <v>616</v>
      </c>
      <c r="Q217" s="871"/>
      <c r="R217" s="823">
        <f t="shared" si="35"/>
        <v>4100</v>
      </c>
    </row>
    <row r="218" spans="1:19" ht="88.5" customHeight="1" x14ac:dyDescent="0.3">
      <c r="A218" s="224"/>
      <c r="B218" s="206"/>
      <c r="C218" s="459" t="s">
        <v>687</v>
      </c>
      <c r="D218" s="455" t="s">
        <v>688</v>
      </c>
      <c r="E218" s="550"/>
      <c r="F218" s="457"/>
      <c r="G218" s="457">
        <v>2400</v>
      </c>
      <c r="H218" s="596">
        <f>2400</f>
        <v>2400</v>
      </c>
      <c r="I218" s="545">
        <f t="shared" ref="I218" si="37">SUM(E218:H218)</f>
        <v>4800</v>
      </c>
      <c r="J218" s="456" t="s">
        <v>206</v>
      </c>
      <c r="K218" s="791" t="s">
        <v>689</v>
      </c>
      <c r="L218" s="819">
        <v>1</v>
      </c>
      <c r="M218" s="820">
        <v>60</v>
      </c>
      <c r="N218" s="871">
        <v>40</v>
      </c>
      <c r="O218" s="822">
        <v>2</v>
      </c>
      <c r="P218" s="822" t="s">
        <v>581</v>
      </c>
      <c r="Q218" s="871">
        <v>0</v>
      </c>
      <c r="R218" s="828">
        <f t="shared" si="35"/>
        <v>4800</v>
      </c>
    </row>
    <row r="219" spans="1:19" ht="94.5" customHeight="1" x14ac:dyDescent="0.3">
      <c r="A219" s="224"/>
      <c r="B219" s="159"/>
      <c r="C219" s="350" t="s">
        <v>520</v>
      </c>
      <c r="D219" s="455" t="s">
        <v>521</v>
      </c>
      <c r="E219" s="550"/>
      <c r="F219" s="457"/>
      <c r="G219" s="457"/>
      <c r="H219" s="596"/>
      <c r="I219" s="545"/>
      <c r="J219" s="458"/>
      <c r="K219" s="791"/>
      <c r="L219" s="819"/>
      <c r="M219" s="852"/>
      <c r="N219" s="871"/>
      <c r="O219" s="853"/>
      <c r="P219" s="853"/>
      <c r="Q219" s="871"/>
      <c r="R219" s="823"/>
    </row>
    <row r="220" spans="1:19" ht="94.5" customHeight="1" x14ac:dyDescent="0.3">
      <c r="A220" s="224"/>
      <c r="B220" s="206"/>
      <c r="C220" s="459" t="s">
        <v>1134</v>
      </c>
      <c r="D220" s="455" t="s">
        <v>690</v>
      </c>
      <c r="E220" s="610"/>
      <c r="F220" s="464"/>
      <c r="G220" s="457"/>
      <c r="H220" s="596"/>
      <c r="I220" s="545">
        <f t="shared" ref="I220" si="38">SUM(E220:H220)</f>
        <v>0</v>
      </c>
      <c r="J220" s="456" t="s">
        <v>206</v>
      </c>
      <c r="K220" s="791" t="s">
        <v>691</v>
      </c>
      <c r="L220" s="819">
        <v>1</v>
      </c>
      <c r="M220" s="820">
        <v>1</v>
      </c>
      <c r="N220" s="871"/>
      <c r="O220" s="822"/>
      <c r="P220" s="822" t="s">
        <v>581</v>
      </c>
      <c r="Q220" s="871"/>
      <c r="R220" s="828">
        <f t="shared" si="35"/>
        <v>0</v>
      </c>
    </row>
    <row r="221" spans="1:19" ht="72" customHeight="1" x14ac:dyDescent="0.3">
      <c r="A221" s="224"/>
      <c r="B221" s="63"/>
      <c r="C221" s="350" t="s">
        <v>207</v>
      </c>
      <c r="D221" s="455" t="s">
        <v>208</v>
      </c>
      <c r="E221" s="550"/>
      <c r="F221" s="457"/>
      <c r="G221" s="457">
        <f>2000</f>
        <v>2000</v>
      </c>
      <c r="H221" s="596">
        <f>6000</f>
        <v>6000</v>
      </c>
      <c r="I221" s="545">
        <f t="shared" si="36"/>
        <v>8000</v>
      </c>
      <c r="J221" s="458" t="s">
        <v>169</v>
      </c>
      <c r="K221" s="785" t="s">
        <v>615</v>
      </c>
      <c r="L221" s="819">
        <v>1</v>
      </c>
      <c r="M221" s="852">
        <v>1</v>
      </c>
      <c r="N221" s="871">
        <v>400</v>
      </c>
      <c r="O221" s="853">
        <v>20</v>
      </c>
      <c r="P221" s="853" t="s">
        <v>581</v>
      </c>
      <c r="Q221" s="871">
        <v>0</v>
      </c>
      <c r="R221" s="823">
        <f t="shared" si="35"/>
        <v>8000</v>
      </c>
    </row>
    <row r="222" spans="1:19" ht="90" customHeight="1" x14ac:dyDescent="0.3">
      <c r="A222" s="224"/>
      <c r="B222" s="63"/>
      <c r="C222" s="277" t="s">
        <v>214</v>
      </c>
      <c r="D222" s="278" t="s">
        <v>215</v>
      </c>
      <c r="E222" s="563">
        <f>42000</f>
        <v>42000</v>
      </c>
      <c r="F222" s="564">
        <v>31000</v>
      </c>
      <c r="G222" s="564">
        <f>20800</f>
        <v>20800</v>
      </c>
      <c r="H222" s="596">
        <f>31050</f>
        <v>31050</v>
      </c>
      <c r="I222" s="545">
        <f t="shared" si="36"/>
        <v>124850</v>
      </c>
      <c r="J222" s="279" t="s">
        <v>58</v>
      </c>
      <c r="K222" s="772" t="s">
        <v>884</v>
      </c>
      <c r="L222" s="866">
        <v>4</v>
      </c>
      <c r="M222" s="867">
        <v>50</v>
      </c>
      <c r="N222" s="868">
        <v>185</v>
      </c>
      <c r="O222" s="868">
        <v>3</v>
      </c>
      <c r="P222" s="868" t="s">
        <v>579</v>
      </c>
      <c r="Q222" s="868">
        <f>5000+8850</f>
        <v>13850</v>
      </c>
      <c r="R222" s="863">
        <f t="shared" si="35"/>
        <v>124850</v>
      </c>
      <c r="S222" s="81"/>
    </row>
    <row r="223" spans="1:19" ht="75" customHeight="1" x14ac:dyDescent="0.3">
      <c r="A223" s="224"/>
      <c r="B223" s="1092"/>
      <c r="C223" s="1620" t="s">
        <v>217</v>
      </c>
      <c r="D223" s="1607" t="s">
        <v>218</v>
      </c>
      <c r="E223" s="1608">
        <f>9700</f>
        <v>9700</v>
      </c>
      <c r="F223" s="1594"/>
      <c r="G223" s="1594">
        <f>19600+2500</f>
        <v>22100</v>
      </c>
      <c r="H223" s="1593">
        <v>10000</v>
      </c>
      <c r="I223" s="1595">
        <f t="shared" si="36"/>
        <v>41800</v>
      </c>
      <c r="J223" s="326" t="s">
        <v>61</v>
      </c>
      <c r="K223" s="1621" t="s">
        <v>885</v>
      </c>
      <c r="L223" s="866">
        <v>4</v>
      </c>
      <c r="M223" s="867">
        <v>1</v>
      </c>
      <c r="N223" s="868">
        <v>10000</v>
      </c>
      <c r="O223" s="868">
        <v>1</v>
      </c>
      <c r="P223" s="868" t="s">
        <v>616</v>
      </c>
      <c r="Q223" s="868">
        <v>1800</v>
      </c>
      <c r="R223" s="863">
        <f t="shared" si="35"/>
        <v>41800</v>
      </c>
      <c r="S223" s="81"/>
    </row>
    <row r="224" spans="1:19" ht="87" customHeight="1" x14ac:dyDescent="0.3">
      <c r="A224" s="224"/>
      <c r="B224" s="1092"/>
      <c r="C224" s="1616" t="s">
        <v>523</v>
      </c>
      <c r="D224" s="1610" t="s">
        <v>524</v>
      </c>
      <c r="E224" s="1617">
        <f>18000</f>
        <v>18000</v>
      </c>
      <c r="F224" s="1618"/>
      <c r="G224" s="1618"/>
      <c r="H224" s="1593"/>
      <c r="I224" s="213">
        <f t="shared" si="36"/>
        <v>18000</v>
      </c>
      <c r="J224" s="1619" t="s">
        <v>61</v>
      </c>
      <c r="K224" s="1614" t="s">
        <v>525</v>
      </c>
      <c r="L224" s="866">
        <v>1</v>
      </c>
      <c r="M224" s="867">
        <v>26</v>
      </c>
      <c r="N224" s="868">
        <v>195</v>
      </c>
      <c r="O224" s="868">
        <v>3</v>
      </c>
      <c r="P224" s="868" t="s">
        <v>579</v>
      </c>
      <c r="Q224" s="868">
        <v>2790</v>
      </c>
      <c r="R224" s="863">
        <f t="shared" si="35"/>
        <v>18000</v>
      </c>
    </row>
    <row r="225" spans="1:19" ht="87" customHeight="1" x14ac:dyDescent="0.3">
      <c r="A225" s="224"/>
      <c r="B225" s="63"/>
      <c r="C225" s="277" t="s">
        <v>526</v>
      </c>
      <c r="D225" s="225" t="s">
        <v>527</v>
      </c>
      <c r="E225" s="611"/>
      <c r="F225" s="203"/>
      <c r="G225" s="203">
        <f>5100</f>
        <v>5100</v>
      </c>
      <c r="H225" s="596"/>
      <c r="I225" s="545">
        <f t="shared" si="36"/>
        <v>5100</v>
      </c>
      <c r="J225" s="279" t="s">
        <v>61</v>
      </c>
      <c r="K225" s="772" t="s">
        <v>1057</v>
      </c>
      <c r="L225" s="1365">
        <v>1</v>
      </c>
      <c r="M225" s="852">
        <v>1</v>
      </c>
      <c r="N225" s="882">
        <v>510</v>
      </c>
      <c r="O225" s="853">
        <v>10</v>
      </c>
      <c r="P225" s="853" t="s">
        <v>581</v>
      </c>
      <c r="Q225" s="882">
        <f>0</f>
        <v>0</v>
      </c>
      <c r="R225" s="883">
        <f t="shared" si="35"/>
        <v>5100</v>
      </c>
    </row>
    <row r="226" spans="1:19" ht="176.25" customHeight="1" x14ac:dyDescent="0.3">
      <c r="A226" s="224"/>
      <c r="B226" s="1092"/>
      <c r="C226" s="1622" t="s">
        <v>529</v>
      </c>
      <c r="D226" s="1604" t="s">
        <v>530</v>
      </c>
      <c r="E226" s="1571"/>
      <c r="F226" s="1572"/>
      <c r="G226" s="1572">
        <f>40990-5453.12</f>
        <v>35536.879999999997</v>
      </c>
      <c r="H226" s="1618">
        <f>35000</f>
        <v>35000</v>
      </c>
      <c r="I226" s="1573">
        <f t="shared" si="36"/>
        <v>70536.88</v>
      </c>
      <c r="J226" s="1619" t="s">
        <v>61</v>
      </c>
      <c r="K226" s="1579" t="s">
        <v>1059</v>
      </c>
      <c r="L226" s="1365">
        <v>1</v>
      </c>
      <c r="M226" s="852">
        <v>1</v>
      </c>
      <c r="N226" s="882">
        <f>35268.44</f>
        <v>35268.44</v>
      </c>
      <c r="O226" s="853">
        <v>2</v>
      </c>
      <c r="P226" s="853" t="s">
        <v>590</v>
      </c>
      <c r="Q226" s="882">
        <v>0</v>
      </c>
      <c r="R226" s="883">
        <f>L226*M226*N226*O226+Q226</f>
        <v>70536.88</v>
      </c>
      <c r="S226" s="130"/>
    </row>
    <row r="227" spans="1:19" ht="107.25" customHeight="1" x14ac:dyDescent="0.3">
      <c r="A227" s="224"/>
      <c r="B227" s="1092"/>
      <c r="C227" s="1616" t="s">
        <v>220</v>
      </c>
      <c r="D227" s="1610" t="s">
        <v>905</v>
      </c>
      <c r="E227" s="1617">
        <f>40900</f>
        <v>40900</v>
      </c>
      <c r="F227" s="1618"/>
      <c r="G227" s="1618"/>
      <c r="H227" s="1593"/>
      <c r="I227" s="213">
        <f t="shared" ref="I227:I251" si="39">SUM(E227:H227)</f>
        <v>40900</v>
      </c>
      <c r="J227" s="1619" t="s">
        <v>61</v>
      </c>
      <c r="K227" s="1614" t="s">
        <v>617</v>
      </c>
      <c r="L227" s="866">
        <v>1</v>
      </c>
      <c r="M227" s="867">
        <v>45</v>
      </c>
      <c r="N227" s="868">
        <v>195</v>
      </c>
      <c r="O227" s="868">
        <v>4</v>
      </c>
      <c r="P227" s="868" t="s">
        <v>579</v>
      </c>
      <c r="Q227" s="868">
        <f>3200+2600</f>
        <v>5800</v>
      </c>
      <c r="R227" s="863">
        <f t="shared" ref="R227:R251" si="40">(L227*M227*N227*O227)+Q227</f>
        <v>40900</v>
      </c>
      <c r="S227" s="130"/>
    </row>
    <row r="228" spans="1:19" ht="162" customHeight="1" x14ac:dyDescent="0.3">
      <c r="A228" s="224"/>
      <c r="B228" s="138"/>
      <c r="C228" s="350" t="s">
        <v>223</v>
      </c>
      <c r="D228" s="455" t="s">
        <v>562</v>
      </c>
      <c r="E228" s="550">
        <f>55100</f>
        <v>55100</v>
      </c>
      <c r="F228" s="457">
        <v>39900</v>
      </c>
      <c r="G228" s="457">
        <f>880</f>
        <v>880</v>
      </c>
      <c r="H228" s="596"/>
      <c r="I228" s="545">
        <f t="shared" si="39"/>
        <v>95880</v>
      </c>
      <c r="J228" s="279" t="s">
        <v>61</v>
      </c>
      <c r="K228" s="785" t="s">
        <v>618</v>
      </c>
      <c r="L228" s="866">
        <v>2</v>
      </c>
      <c r="M228" s="867">
        <v>75</v>
      </c>
      <c r="N228" s="868">
        <v>195</v>
      </c>
      <c r="O228" s="868">
        <v>3</v>
      </c>
      <c r="P228" s="868" t="s">
        <v>579</v>
      </c>
      <c r="Q228" s="868">
        <f>840+7290</f>
        <v>8130</v>
      </c>
      <c r="R228" s="863">
        <f>(L228*M228*N228*O228)+Q228</f>
        <v>95880</v>
      </c>
      <c r="S228" s="130"/>
    </row>
    <row r="229" spans="1:19" ht="156.75" customHeight="1" x14ac:dyDescent="0.3">
      <c r="A229" s="224"/>
      <c r="B229" s="63"/>
      <c r="C229" s="350" t="s">
        <v>225</v>
      </c>
      <c r="D229" s="455" t="s">
        <v>226</v>
      </c>
      <c r="E229" s="550">
        <v>44500</v>
      </c>
      <c r="F229" s="457"/>
      <c r="G229" s="457"/>
      <c r="H229" s="596"/>
      <c r="I229" s="545">
        <f t="shared" si="39"/>
        <v>44500</v>
      </c>
      <c r="J229" s="279" t="s">
        <v>58</v>
      </c>
      <c r="K229" s="785" t="s">
        <v>619</v>
      </c>
      <c r="L229" s="866">
        <v>10</v>
      </c>
      <c r="M229" s="867">
        <v>6</v>
      </c>
      <c r="N229" s="868">
        <v>170</v>
      </c>
      <c r="O229" s="868">
        <v>4</v>
      </c>
      <c r="P229" s="868" t="s">
        <v>579</v>
      </c>
      <c r="Q229" s="868">
        <f>3700</f>
        <v>3700</v>
      </c>
      <c r="R229" s="863">
        <f t="shared" si="40"/>
        <v>44500</v>
      </c>
      <c r="S229" s="130"/>
    </row>
    <row r="230" spans="1:19" ht="113.25" customHeight="1" x14ac:dyDescent="0.3">
      <c r="A230" s="224"/>
      <c r="B230" s="1092"/>
      <c r="C230" s="207" t="s">
        <v>227</v>
      </c>
      <c r="D230" s="1591" t="s">
        <v>228</v>
      </c>
      <c r="E230" s="1615"/>
      <c r="F230" s="1593">
        <v>6100</v>
      </c>
      <c r="G230" s="1593">
        <v>6000</v>
      </c>
      <c r="H230" s="1593"/>
      <c r="I230" s="1595">
        <f t="shared" si="39"/>
        <v>12100</v>
      </c>
      <c r="J230" s="326" t="s">
        <v>61</v>
      </c>
      <c r="K230" s="1596" t="s">
        <v>620</v>
      </c>
      <c r="L230" s="866">
        <v>1</v>
      </c>
      <c r="M230" s="867">
        <v>1</v>
      </c>
      <c r="N230" s="868">
        <v>400</v>
      </c>
      <c r="O230" s="868">
        <v>30</v>
      </c>
      <c r="P230" s="868" t="s">
        <v>579</v>
      </c>
      <c r="Q230" s="868">
        <v>100</v>
      </c>
      <c r="R230" s="863">
        <f t="shared" si="40"/>
        <v>12100</v>
      </c>
      <c r="S230" s="130"/>
    </row>
    <row r="231" spans="1:19" ht="150" customHeight="1" x14ac:dyDescent="0.3">
      <c r="A231" s="224"/>
      <c r="B231" s="1092"/>
      <c r="C231" s="1616" t="s">
        <v>230</v>
      </c>
      <c r="D231" s="1610" t="s">
        <v>741</v>
      </c>
      <c r="E231" s="1617">
        <f>53100</f>
        <v>53100</v>
      </c>
      <c r="F231" s="1618">
        <f>47100</f>
        <v>47100</v>
      </c>
      <c r="G231" s="1618">
        <f>30200</f>
        <v>30200</v>
      </c>
      <c r="H231" s="1593"/>
      <c r="I231" s="213">
        <f t="shared" si="39"/>
        <v>130400</v>
      </c>
      <c r="J231" s="1619" t="s">
        <v>58</v>
      </c>
      <c r="K231" s="1614" t="s">
        <v>781</v>
      </c>
      <c r="L231" s="866">
        <v>6</v>
      </c>
      <c r="M231" s="867">
        <v>12</v>
      </c>
      <c r="N231" s="868">
        <v>170</v>
      </c>
      <c r="O231" s="868">
        <v>7</v>
      </c>
      <c r="P231" s="868" t="s">
        <v>579</v>
      </c>
      <c r="Q231" s="868">
        <f>12000+16000+15460+(420*3)</f>
        <v>44720</v>
      </c>
      <c r="R231" s="863">
        <f t="shared" si="40"/>
        <v>130400</v>
      </c>
      <c r="S231" s="130"/>
    </row>
    <row r="232" spans="1:19" ht="111" customHeight="1" x14ac:dyDescent="0.3">
      <c r="A232" s="224"/>
      <c r="B232" s="63"/>
      <c r="C232" s="350" t="s">
        <v>233</v>
      </c>
      <c r="D232" s="455" t="s">
        <v>563</v>
      </c>
      <c r="E232" s="550">
        <v>20000</v>
      </c>
      <c r="F232" s="457">
        <v>40100</v>
      </c>
      <c r="G232" s="457"/>
      <c r="H232" s="596"/>
      <c r="I232" s="545">
        <f t="shared" si="39"/>
        <v>60100</v>
      </c>
      <c r="J232" s="458" t="s">
        <v>61</v>
      </c>
      <c r="K232" s="785" t="s">
        <v>621</v>
      </c>
      <c r="L232" s="866">
        <v>10</v>
      </c>
      <c r="M232" s="867">
        <v>6</v>
      </c>
      <c r="N232" s="868">
        <v>170</v>
      </c>
      <c r="O232" s="868">
        <v>5</v>
      </c>
      <c r="P232" s="868" t="s">
        <v>579</v>
      </c>
      <c r="Q232" s="868">
        <f>3000+6100</f>
        <v>9100</v>
      </c>
      <c r="R232" s="863">
        <f t="shared" si="40"/>
        <v>60100</v>
      </c>
      <c r="S232" s="130"/>
    </row>
    <row r="233" spans="1:19" ht="111" customHeight="1" x14ac:dyDescent="0.3">
      <c r="A233" s="224"/>
      <c r="B233" s="63"/>
      <c r="C233" s="350" t="s">
        <v>531</v>
      </c>
      <c r="D233" s="278" t="s">
        <v>532</v>
      </c>
      <c r="E233" s="563"/>
      <c r="F233" s="564"/>
      <c r="G233" s="457">
        <v>0</v>
      </c>
      <c r="H233" s="596"/>
      <c r="I233" s="545">
        <f t="shared" si="39"/>
        <v>0</v>
      </c>
      <c r="J233" s="458" t="s">
        <v>61</v>
      </c>
      <c r="K233" s="645" t="s">
        <v>691</v>
      </c>
      <c r="L233" s="819"/>
      <c r="M233" s="873"/>
      <c r="N233" s="821"/>
      <c r="O233" s="853"/>
      <c r="P233" s="853"/>
      <c r="Q233" s="821"/>
      <c r="R233" s="823"/>
      <c r="S233" s="130"/>
    </row>
    <row r="234" spans="1:19" ht="111" customHeight="1" x14ac:dyDescent="0.3">
      <c r="A234" s="224"/>
      <c r="B234" s="204"/>
      <c r="C234" s="444" t="s">
        <v>694</v>
      </c>
      <c r="D234" s="278" t="s">
        <v>693</v>
      </c>
      <c r="E234" s="563"/>
      <c r="F234" s="564"/>
      <c r="G234" s="564"/>
      <c r="H234" s="596">
        <f>17300</f>
        <v>17300</v>
      </c>
      <c r="I234" s="545">
        <f>SUM(E234:H234)</f>
        <v>17300</v>
      </c>
      <c r="J234" s="514" t="s">
        <v>61</v>
      </c>
      <c r="K234" s="645" t="s">
        <v>782</v>
      </c>
      <c r="L234" s="819">
        <v>2</v>
      </c>
      <c r="M234" s="820">
        <v>15</v>
      </c>
      <c r="N234" s="821">
        <v>170</v>
      </c>
      <c r="O234" s="822">
        <v>3</v>
      </c>
      <c r="P234" s="822" t="s">
        <v>581</v>
      </c>
      <c r="Q234" s="821">
        <f>2000</f>
        <v>2000</v>
      </c>
      <c r="R234" s="828">
        <f>(L234*M234*N234*O234)+Q234</f>
        <v>17300</v>
      </c>
      <c r="S234" s="130"/>
    </row>
    <row r="235" spans="1:19" ht="111" customHeight="1" x14ac:dyDescent="0.3">
      <c r="A235" s="224"/>
      <c r="B235" s="204"/>
      <c r="C235" s="444" t="s">
        <v>1135</v>
      </c>
      <c r="D235" s="278" t="s">
        <v>695</v>
      </c>
      <c r="E235" s="563"/>
      <c r="F235" s="564"/>
      <c r="G235" s="564"/>
      <c r="H235" s="596"/>
      <c r="I235" s="545">
        <f t="shared" ref="I235" si="41">SUM(E235:H235)</f>
        <v>0</v>
      </c>
      <c r="J235" s="530" t="s">
        <v>58</v>
      </c>
      <c r="K235" s="791" t="s">
        <v>691</v>
      </c>
      <c r="L235" s="819">
        <v>1</v>
      </c>
      <c r="M235" s="820">
        <v>1</v>
      </c>
      <c r="N235" s="871">
        <v>0</v>
      </c>
      <c r="O235" s="822">
        <v>1</v>
      </c>
      <c r="P235" s="822" t="s">
        <v>581</v>
      </c>
      <c r="Q235" s="871"/>
      <c r="R235" s="828">
        <f t="shared" ref="R235" si="42">(L235*M235*N235*O235)+Q235</f>
        <v>0</v>
      </c>
      <c r="S235" s="130"/>
    </row>
    <row r="236" spans="1:19" ht="68.25" customHeight="1" x14ac:dyDescent="0.3">
      <c r="A236" s="224"/>
      <c r="B236" s="63"/>
      <c r="C236" s="277" t="s">
        <v>235</v>
      </c>
      <c r="D236" s="278" t="s">
        <v>740</v>
      </c>
      <c r="E236" s="563">
        <f>34300</f>
        <v>34300</v>
      </c>
      <c r="F236" s="564"/>
      <c r="G236" s="564"/>
      <c r="H236" s="596"/>
      <c r="I236" s="545">
        <f t="shared" si="39"/>
        <v>34300</v>
      </c>
      <c r="J236" s="279" t="s">
        <v>61</v>
      </c>
      <c r="K236" s="772" t="s">
        <v>622</v>
      </c>
      <c r="L236" s="866">
        <v>1</v>
      </c>
      <c r="M236" s="867">
        <v>45</v>
      </c>
      <c r="N236" s="868">
        <v>195</v>
      </c>
      <c r="O236" s="868">
        <v>3</v>
      </c>
      <c r="P236" s="868" t="s">
        <v>579</v>
      </c>
      <c r="Q236" s="868">
        <f>2400+5575</f>
        <v>7975</v>
      </c>
      <c r="R236" s="863">
        <f t="shared" si="40"/>
        <v>34300</v>
      </c>
      <c r="S236" s="130"/>
    </row>
    <row r="237" spans="1:19" ht="89.25" customHeight="1" x14ac:dyDescent="0.3">
      <c r="A237" s="224"/>
      <c r="B237" s="63"/>
      <c r="C237" s="350" t="s">
        <v>238</v>
      </c>
      <c r="D237" s="499" t="s">
        <v>239</v>
      </c>
      <c r="E237" s="550">
        <f>28900</f>
        <v>28900</v>
      </c>
      <c r="F237" s="457"/>
      <c r="G237" s="457"/>
      <c r="H237" s="596"/>
      <c r="I237" s="545">
        <f t="shared" si="39"/>
        <v>28900</v>
      </c>
      <c r="J237" s="279" t="s">
        <v>58</v>
      </c>
      <c r="K237" s="785" t="s">
        <v>623</v>
      </c>
      <c r="L237" s="866">
        <v>1</v>
      </c>
      <c r="M237" s="867">
        <v>2</v>
      </c>
      <c r="N237" s="868">
        <v>14000</v>
      </c>
      <c r="O237" s="868">
        <v>1</v>
      </c>
      <c r="P237" s="868" t="s">
        <v>579</v>
      </c>
      <c r="Q237" s="868">
        <f>900</f>
        <v>900</v>
      </c>
      <c r="R237" s="863">
        <f t="shared" si="40"/>
        <v>28900</v>
      </c>
      <c r="S237" s="130"/>
    </row>
    <row r="238" spans="1:19" ht="86.25" customHeight="1" x14ac:dyDescent="0.3">
      <c r="A238" s="224"/>
      <c r="B238" s="63"/>
      <c r="C238" s="277" t="s">
        <v>243</v>
      </c>
      <c r="D238" s="357" t="s">
        <v>565</v>
      </c>
      <c r="E238" s="563">
        <v>4400</v>
      </c>
      <c r="F238" s="564"/>
      <c r="G238" s="564"/>
      <c r="H238" s="596"/>
      <c r="I238" s="545">
        <f t="shared" si="39"/>
        <v>4400</v>
      </c>
      <c r="J238" s="279" t="s">
        <v>58</v>
      </c>
      <c r="K238" s="797" t="s">
        <v>783</v>
      </c>
      <c r="L238" s="866">
        <v>1</v>
      </c>
      <c r="M238" s="867">
        <v>2</v>
      </c>
      <c r="N238" s="868">
        <v>250</v>
      </c>
      <c r="O238" s="868">
        <v>8</v>
      </c>
      <c r="P238" s="868" t="s">
        <v>579</v>
      </c>
      <c r="Q238" s="868">
        <f>400</f>
        <v>400</v>
      </c>
      <c r="R238" s="863">
        <f t="shared" si="40"/>
        <v>4400</v>
      </c>
      <c r="S238" s="130"/>
    </row>
    <row r="239" spans="1:19" ht="65.25" customHeight="1" x14ac:dyDescent="0.3">
      <c r="A239" s="224"/>
      <c r="B239" s="63"/>
      <c r="C239" s="350" t="s">
        <v>247</v>
      </c>
      <c r="D239" s="499" t="s">
        <v>248</v>
      </c>
      <c r="E239" s="550">
        <v>1551</v>
      </c>
      <c r="F239" s="457"/>
      <c r="G239" s="457"/>
      <c r="H239" s="596"/>
      <c r="I239" s="545">
        <f t="shared" si="39"/>
        <v>1551</v>
      </c>
      <c r="J239" s="458" t="s">
        <v>58</v>
      </c>
      <c r="K239" s="798" t="s">
        <v>624</v>
      </c>
      <c r="L239" s="866">
        <v>1</v>
      </c>
      <c r="M239" s="867">
        <v>2</v>
      </c>
      <c r="N239" s="868">
        <f>1550/2/5</f>
        <v>155</v>
      </c>
      <c r="O239" s="868">
        <v>5</v>
      </c>
      <c r="P239" s="868" t="s">
        <v>579</v>
      </c>
      <c r="Q239" s="868"/>
      <c r="R239" s="863">
        <f>(L239*M239*N239*O239)+Q239+1</f>
        <v>1551</v>
      </c>
      <c r="S239" s="130"/>
    </row>
    <row r="240" spans="1:19" ht="75" customHeight="1" x14ac:dyDescent="0.3">
      <c r="A240" s="224"/>
      <c r="B240" s="138"/>
      <c r="C240" s="277" t="s">
        <v>250</v>
      </c>
      <c r="D240" s="357" t="s">
        <v>567</v>
      </c>
      <c r="E240" s="563">
        <v>820</v>
      </c>
      <c r="F240" s="564"/>
      <c r="G240" s="564"/>
      <c r="H240" s="596"/>
      <c r="I240" s="545">
        <f t="shared" si="39"/>
        <v>820</v>
      </c>
      <c r="J240" s="279" t="s">
        <v>58</v>
      </c>
      <c r="K240" s="797" t="s">
        <v>625</v>
      </c>
      <c r="L240" s="866">
        <v>1</v>
      </c>
      <c r="M240" s="867">
        <v>15</v>
      </c>
      <c r="N240" s="868">
        <v>10.94</v>
      </c>
      <c r="O240" s="868">
        <v>5</v>
      </c>
      <c r="P240" s="868" t="s">
        <v>579</v>
      </c>
      <c r="Q240" s="881">
        <f>-0.5</f>
        <v>-0.5</v>
      </c>
      <c r="R240" s="863">
        <f t="shared" si="40"/>
        <v>820</v>
      </c>
      <c r="S240" s="130"/>
    </row>
    <row r="241" spans="1:20" ht="99" customHeight="1" x14ac:dyDescent="0.3">
      <c r="A241" s="224"/>
      <c r="B241" s="63"/>
      <c r="C241" s="350" t="s">
        <v>252</v>
      </c>
      <c r="D241" s="499" t="s">
        <v>626</v>
      </c>
      <c r="E241" s="550">
        <v>1900</v>
      </c>
      <c r="F241" s="457"/>
      <c r="G241" s="457">
        <v>5400</v>
      </c>
      <c r="H241" s="596"/>
      <c r="I241" s="545">
        <f t="shared" si="39"/>
        <v>7300</v>
      </c>
      <c r="J241" s="458" t="s">
        <v>58</v>
      </c>
      <c r="K241" s="798" t="s">
        <v>627</v>
      </c>
      <c r="L241" s="866">
        <v>1</v>
      </c>
      <c r="M241" s="867">
        <v>2</v>
      </c>
      <c r="N241" s="868">
        <f>7300/2</f>
        <v>3650</v>
      </c>
      <c r="O241" s="868">
        <v>1</v>
      </c>
      <c r="P241" s="868" t="s">
        <v>579</v>
      </c>
      <c r="Q241" s="868"/>
      <c r="R241" s="863">
        <f t="shared" si="40"/>
        <v>7300</v>
      </c>
      <c r="S241" s="130"/>
    </row>
    <row r="242" spans="1:20" ht="107.25" customHeight="1" x14ac:dyDescent="0.3">
      <c r="A242" s="224"/>
      <c r="B242" s="204"/>
      <c r="C242" s="467" t="s">
        <v>700</v>
      </c>
      <c r="D242" s="483" t="s">
        <v>697</v>
      </c>
      <c r="E242" s="615"/>
      <c r="F242" s="468"/>
      <c r="G242" s="469"/>
      <c r="H242" s="596">
        <f>6000</f>
        <v>6000</v>
      </c>
      <c r="I242" s="545">
        <f t="shared" ref="I242" si="43">SUM(E242:H242)</f>
        <v>6000</v>
      </c>
      <c r="J242" s="514" t="s">
        <v>61</v>
      </c>
      <c r="K242" s="791" t="s">
        <v>698</v>
      </c>
      <c r="L242" s="819">
        <v>1</v>
      </c>
      <c r="M242" s="820">
        <v>2</v>
      </c>
      <c r="N242" s="871">
        <v>3000</v>
      </c>
      <c r="O242" s="822">
        <v>1</v>
      </c>
      <c r="P242" s="822" t="s">
        <v>699</v>
      </c>
      <c r="Q242" s="871"/>
      <c r="R242" s="828">
        <f t="shared" si="40"/>
        <v>6000</v>
      </c>
      <c r="S242" s="130"/>
    </row>
    <row r="243" spans="1:20" ht="67.5" customHeight="1" x14ac:dyDescent="0.3">
      <c r="A243" s="224"/>
      <c r="B243" s="358"/>
      <c r="C243" s="359" t="s">
        <v>254</v>
      </c>
      <c r="D243" s="500" t="s">
        <v>255</v>
      </c>
      <c r="E243" s="566">
        <f>-115.3</f>
        <v>-115.3</v>
      </c>
      <c r="F243" s="465"/>
      <c r="G243" s="465"/>
      <c r="H243" s="596"/>
      <c r="I243" s="545">
        <f t="shared" si="39"/>
        <v>-115.3</v>
      </c>
      <c r="J243" s="518" t="s">
        <v>58</v>
      </c>
      <c r="K243" s="799" t="s">
        <v>628</v>
      </c>
      <c r="L243" s="866">
        <v>1</v>
      </c>
      <c r="M243" s="867">
        <v>1</v>
      </c>
      <c r="N243" s="868">
        <v>-115.3</v>
      </c>
      <c r="O243" s="868">
        <v>1</v>
      </c>
      <c r="P243" s="868"/>
      <c r="Q243" s="868"/>
      <c r="R243" s="863">
        <f t="shared" si="40"/>
        <v>-115.3</v>
      </c>
      <c r="S243" s="130"/>
    </row>
    <row r="244" spans="1:20" ht="110.25" customHeight="1" x14ac:dyDescent="0.3">
      <c r="A244" s="224"/>
      <c r="B244" s="63"/>
      <c r="C244" s="64" t="s">
        <v>257</v>
      </c>
      <c r="D244" s="225" t="s">
        <v>871</v>
      </c>
      <c r="E244" s="214">
        <f>143100</f>
        <v>143100</v>
      </c>
      <c r="F244" s="203"/>
      <c r="G244" s="203">
        <f>28700</f>
        <v>28700</v>
      </c>
      <c r="H244" s="596"/>
      <c r="I244" s="545">
        <f t="shared" si="39"/>
        <v>171800</v>
      </c>
      <c r="J244" s="279" t="s">
        <v>61</v>
      </c>
      <c r="K244" s="463" t="s">
        <v>1056</v>
      </c>
      <c r="L244" s="866">
        <v>5</v>
      </c>
      <c r="M244" s="867">
        <v>52</v>
      </c>
      <c r="N244" s="868">
        <v>185</v>
      </c>
      <c r="O244" s="868">
        <v>3</v>
      </c>
      <c r="P244" s="868" t="s">
        <v>579</v>
      </c>
      <c r="Q244" s="868">
        <v>27500</v>
      </c>
      <c r="R244" s="863">
        <f t="shared" si="40"/>
        <v>171800</v>
      </c>
      <c r="S244" s="130"/>
    </row>
    <row r="245" spans="1:20" ht="69" customHeight="1" x14ac:dyDescent="0.3">
      <c r="A245" s="224"/>
      <c r="B245" s="63"/>
      <c r="C245" s="360" t="s">
        <v>533</v>
      </c>
      <c r="D245" s="455" t="s">
        <v>534</v>
      </c>
      <c r="E245" s="616"/>
      <c r="F245" s="617"/>
      <c r="G245" s="617"/>
      <c r="H245" s="596"/>
      <c r="I245" s="545"/>
      <c r="J245" s="458"/>
      <c r="K245" s="785"/>
      <c r="L245" s="819"/>
      <c r="M245" s="852">
        <v>150</v>
      </c>
      <c r="N245" s="884">
        <v>35</v>
      </c>
      <c r="O245" s="853">
        <v>2</v>
      </c>
      <c r="P245" s="853" t="s">
        <v>581</v>
      </c>
      <c r="Q245" s="884">
        <v>0</v>
      </c>
      <c r="R245" s="885">
        <f t="shared" si="40"/>
        <v>0</v>
      </c>
      <c r="S245" s="130"/>
      <c r="T245" s="361"/>
    </row>
    <row r="246" spans="1:20" ht="68.25" customHeight="1" x14ac:dyDescent="0.3">
      <c r="A246" s="224"/>
      <c r="B246" s="152"/>
      <c r="C246" s="2487" t="s">
        <v>258</v>
      </c>
      <c r="D246" s="502" t="s">
        <v>259</v>
      </c>
      <c r="E246" s="1006">
        <f>8200</f>
        <v>8200</v>
      </c>
      <c r="F246" s="1007"/>
      <c r="G246" s="1007"/>
      <c r="H246" s="1007"/>
      <c r="I246" s="1009">
        <f t="shared" si="39"/>
        <v>8200</v>
      </c>
      <c r="J246" s="1006" t="s">
        <v>58</v>
      </c>
      <c r="K246" s="1008" t="s">
        <v>906</v>
      </c>
      <c r="L246" s="1002">
        <v>1</v>
      </c>
      <c r="M246" s="867">
        <v>40</v>
      </c>
      <c r="N246" s="868">
        <v>65</v>
      </c>
      <c r="O246" s="868">
        <v>3</v>
      </c>
      <c r="P246" s="868" t="s">
        <v>579</v>
      </c>
      <c r="Q246" s="868">
        <f>400</f>
        <v>400</v>
      </c>
      <c r="R246" s="863">
        <f t="shared" si="40"/>
        <v>8200</v>
      </c>
      <c r="S246" s="130"/>
    </row>
    <row r="247" spans="1:20" ht="89.25" customHeight="1" x14ac:dyDescent="0.3">
      <c r="A247" s="224"/>
      <c r="B247" s="63"/>
      <c r="C247" s="277" t="s">
        <v>261</v>
      </c>
      <c r="D247" s="278" t="s">
        <v>262</v>
      </c>
      <c r="E247" s="563">
        <v>1350</v>
      </c>
      <c r="F247" s="564"/>
      <c r="G247" s="564"/>
      <c r="H247" s="596"/>
      <c r="I247" s="545">
        <f t="shared" si="39"/>
        <v>1350</v>
      </c>
      <c r="J247" s="279" t="s">
        <v>58</v>
      </c>
      <c r="K247" s="772" t="s">
        <v>631</v>
      </c>
      <c r="L247" s="866">
        <v>1</v>
      </c>
      <c r="M247" s="867">
        <v>6</v>
      </c>
      <c r="N247" s="868">
        <f>1350/6/4</f>
        <v>56.25</v>
      </c>
      <c r="O247" s="868">
        <v>4</v>
      </c>
      <c r="P247" s="868" t="s">
        <v>579</v>
      </c>
      <c r="Q247" s="868"/>
      <c r="R247" s="863">
        <f t="shared" si="40"/>
        <v>1350</v>
      </c>
      <c r="S247" s="130"/>
    </row>
    <row r="248" spans="1:20" ht="89.25" customHeight="1" x14ac:dyDescent="0.3">
      <c r="A248" s="224"/>
      <c r="B248" s="63"/>
      <c r="C248" s="332" t="s">
        <v>264</v>
      </c>
      <c r="D248" s="455" t="s">
        <v>265</v>
      </c>
      <c r="E248" s="550">
        <v>5900</v>
      </c>
      <c r="F248" s="457">
        <v>2300</v>
      </c>
      <c r="G248" s="457"/>
      <c r="H248" s="596"/>
      <c r="I248" s="545">
        <f t="shared" si="39"/>
        <v>8200</v>
      </c>
      <c r="J248" s="458" t="s">
        <v>58</v>
      </c>
      <c r="K248" s="785" t="s">
        <v>632</v>
      </c>
      <c r="L248" s="866">
        <v>1</v>
      </c>
      <c r="M248" s="867">
        <v>15</v>
      </c>
      <c r="N248" s="868">
        <v>160</v>
      </c>
      <c r="O248" s="868">
        <v>3</v>
      </c>
      <c r="P248" s="868" t="s">
        <v>579</v>
      </c>
      <c r="Q248" s="868">
        <f>1000</f>
        <v>1000</v>
      </c>
      <c r="R248" s="863">
        <f t="shared" si="40"/>
        <v>8200</v>
      </c>
      <c r="S248" s="130"/>
    </row>
    <row r="249" spans="1:20" ht="88.5" customHeight="1" x14ac:dyDescent="0.3">
      <c r="A249" s="224"/>
      <c r="B249" s="63"/>
      <c r="C249" s="363" t="s">
        <v>267</v>
      </c>
      <c r="D249" s="484" t="s">
        <v>568</v>
      </c>
      <c r="E249" s="576">
        <v>33941</v>
      </c>
      <c r="F249" s="552">
        <v>46159</v>
      </c>
      <c r="G249" s="552"/>
      <c r="H249" s="596"/>
      <c r="I249" s="545">
        <f t="shared" si="39"/>
        <v>80100</v>
      </c>
      <c r="J249" s="466" t="s">
        <v>58</v>
      </c>
      <c r="K249" s="790" t="s">
        <v>633</v>
      </c>
      <c r="L249" s="866">
        <v>2</v>
      </c>
      <c r="M249" s="867">
        <v>45</v>
      </c>
      <c r="N249" s="868">
        <v>195</v>
      </c>
      <c r="O249" s="868">
        <v>4</v>
      </c>
      <c r="P249" s="868" t="s">
        <v>579</v>
      </c>
      <c r="Q249" s="868">
        <f>3500*2+2900</f>
        <v>9900</v>
      </c>
      <c r="R249" s="863">
        <f t="shared" si="40"/>
        <v>80100</v>
      </c>
      <c r="S249" s="130"/>
    </row>
    <row r="250" spans="1:20" ht="126.75" customHeight="1" x14ac:dyDescent="0.3">
      <c r="A250" s="224"/>
      <c r="B250" s="204"/>
      <c r="C250" s="459" t="s">
        <v>701</v>
      </c>
      <c r="D250" s="455" t="s">
        <v>702</v>
      </c>
      <c r="E250" s="550"/>
      <c r="F250" s="457"/>
      <c r="G250" s="457"/>
      <c r="H250" s="596">
        <f>4200</f>
        <v>4200</v>
      </c>
      <c r="I250" s="545">
        <f t="shared" ref="I250" si="44">SUM(E250:H250)</f>
        <v>4200</v>
      </c>
      <c r="J250" s="456" t="s">
        <v>206</v>
      </c>
      <c r="K250" s="791" t="s">
        <v>726</v>
      </c>
      <c r="L250" s="819">
        <v>1</v>
      </c>
      <c r="M250" s="820">
        <v>60</v>
      </c>
      <c r="N250" s="871">
        <v>35</v>
      </c>
      <c r="O250" s="822">
        <v>2</v>
      </c>
      <c r="P250" s="822" t="s">
        <v>581</v>
      </c>
      <c r="Q250" s="871"/>
      <c r="R250" s="828">
        <f t="shared" si="40"/>
        <v>4200</v>
      </c>
      <c r="S250" s="130"/>
    </row>
    <row r="251" spans="1:20" ht="68.25" customHeight="1" x14ac:dyDescent="0.3">
      <c r="A251" s="224"/>
      <c r="B251" s="63"/>
      <c r="C251" s="2485" t="s">
        <v>536</v>
      </c>
      <c r="D251" s="2486" t="s">
        <v>739</v>
      </c>
      <c r="E251" s="569">
        <v>950</v>
      </c>
      <c r="F251" s="597"/>
      <c r="G251" s="597"/>
      <c r="H251" s="596"/>
      <c r="I251" s="2484">
        <f t="shared" si="39"/>
        <v>950</v>
      </c>
      <c r="J251" s="531" t="s">
        <v>61</v>
      </c>
      <c r="K251" s="800" t="s">
        <v>538</v>
      </c>
      <c r="L251" s="866">
        <v>1</v>
      </c>
      <c r="M251" s="867">
        <v>1</v>
      </c>
      <c r="N251" s="868">
        <v>475</v>
      </c>
      <c r="O251" s="868">
        <v>2</v>
      </c>
      <c r="P251" s="868" t="s">
        <v>579</v>
      </c>
      <c r="Q251" s="868"/>
      <c r="R251" s="863">
        <f t="shared" si="40"/>
        <v>950</v>
      </c>
      <c r="S251" s="130"/>
    </row>
    <row r="252" spans="1:20" ht="33" customHeight="1" thickBot="1" x14ac:dyDescent="0.35">
      <c r="A252" s="224"/>
      <c r="B252" s="68"/>
      <c r="C252" s="364"/>
      <c r="D252" s="365"/>
      <c r="E252" s="618"/>
      <c r="F252" s="619"/>
      <c r="G252" s="619"/>
      <c r="H252" s="619"/>
      <c r="I252" s="620"/>
      <c r="J252" s="366"/>
      <c r="K252" s="801"/>
      <c r="L252" s="819"/>
      <c r="M252" s="852"/>
      <c r="N252" s="871"/>
      <c r="O252" s="853"/>
      <c r="P252" s="853"/>
      <c r="Q252" s="871"/>
      <c r="R252" s="823"/>
      <c r="S252" s="130"/>
    </row>
    <row r="253" spans="1:20" ht="30.75" customHeight="1" thickBot="1" x14ac:dyDescent="0.35">
      <c r="A253" s="284"/>
      <c r="B253" s="343" t="s">
        <v>45</v>
      </c>
      <c r="C253" s="344"/>
      <c r="D253" s="496"/>
      <c r="E253" s="608">
        <f>SUM(E207:E251)</f>
        <v>594396.69999999995</v>
      </c>
      <c r="F253" s="608">
        <f t="shared" ref="F253:I253" si="45">SUM(F207:F251)</f>
        <v>277205</v>
      </c>
      <c r="G253" s="608">
        <f t="shared" si="45"/>
        <v>193374.41</v>
      </c>
      <c r="H253" s="608">
        <f t="shared" si="45"/>
        <v>146934.70000000001</v>
      </c>
      <c r="I253" s="608">
        <f t="shared" si="45"/>
        <v>1211910.81</v>
      </c>
      <c r="J253" s="532"/>
      <c r="K253" s="795"/>
      <c r="L253" s="608"/>
      <c r="M253" s="608"/>
      <c r="N253" s="608"/>
      <c r="O253" s="608"/>
      <c r="P253" s="608">
        <f t="shared" ref="P253:R253" si="46">SUM(P207:P251)</f>
        <v>0</v>
      </c>
      <c r="Q253" s="608">
        <f t="shared" si="46"/>
        <v>160110.13</v>
      </c>
      <c r="R253" s="608">
        <f t="shared" si="46"/>
        <v>1211910.81</v>
      </c>
      <c r="S253" s="130"/>
    </row>
    <row r="254" spans="1:20" ht="19.5" customHeight="1" x14ac:dyDescent="0.3">
      <c r="A254" s="284"/>
      <c r="B254" s="367"/>
      <c r="C254" s="368"/>
      <c r="D254" s="501"/>
      <c r="E254" s="621"/>
      <c r="F254" s="622"/>
      <c r="G254" s="622"/>
      <c r="H254" s="622"/>
      <c r="I254" s="623"/>
      <c r="J254" s="533"/>
      <c r="K254" s="802"/>
      <c r="L254" s="819"/>
      <c r="M254" s="852"/>
      <c r="N254" s="871"/>
      <c r="O254" s="853"/>
      <c r="P254" s="853"/>
      <c r="Q254" s="871"/>
      <c r="R254" s="823"/>
      <c r="S254" s="130"/>
    </row>
    <row r="255" spans="1:20" ht="63" customHeight="1" x14ac:dyDescent="0.3">
      <c r="A255" s="284"/>
      <c r="B255" s="161" t="s">
        <v>269</v>
      </c>
      <c r="C255" s="78"/>
      <c r="D255" s="78"/>
      <c r="E255" s="216"/>
      <c r="F255" s="217"/>
      <c r="G255" s="217"/>
      <c r="H255" s="217"/>
      <c r="I255" s="215"/>
      <c r="J255" s="534"/>
      <c r="K255" s="803"/>
      <c r="L255" s="819"/>
      <c r="M255" s="852"/>
      <c r="N255" s="871"/>
      <c r="O255" s="853"/>
      <c r="P255" s="853"/>
      <c r="Q255" s="871"/>
      <c r="R255" s="823"/>
      <c r="S255" s="130"/>
    </row>
    <row r="256" spans="1:20" ht="3.75" customHeight="1" x14ac:dyDescent="0.3">
      <c r="A256" s="224"/>
      <c r="B256" s="296"/>
      <c r="C256" s="277"/>
      <c r="D256" s="300"/>
      <c r="E256" s="571"/>
      <c r="F256" s="572"/>
      <c r="G256" s="572"/>
      <c r="H256" s="572"/>
      <c r="I256" s="573"/>
      <c r="J256" s="289"/>
      <c r="K256" s="776"/>
      <c r="L256" s="819"/>
      <c r="M256" s="852"/>
      <c r="N256" s="871"/>
      <c r="O256" s="853"/>
      <c r="P256" s="853"/>
      <c r="Q256" s="871"/>
      <c r="R256" s="823"/>
      <c r="S256" s="130"/>
    </row>
    <row r="257" spans="1:19" ht="61.5" customHeight="1" x14ac:dyDescent="0.3">
      <c r="A257" s="299">
        <v>5.0999999999999996</v>
      </c>
      <c r="B257" s="2636" t="s">
        <v>270</v>
      </c>
      <c r="C257" s="2637"/>
      <c r="D257" s="2638"/>
      <c r="E257" s="624"/>
      <c r="F257" s="625"/>
      <c r="G257" s="625"/>
      <c r="H257" s="625"/>
      <c r="I257" s="626"/>
      <c r="J257" s="535"/>
      <c r="K257" s="804"/>
      <c r="L257" s="819"/>
      <c r="M257" s="852"/>
      <c r="N257" s="871"/>
      <c r="O257" s="853"/>
      <c r="P257" s="853"/>
      <c r="Q257" s="871"/>
      <c r="R257" s="823"/>
      <c r="S257" s="130"/>
    </row>
    <row r="258" spans="1:19" ht="51" customHeight="1" x14ac:dyDescent="0.3">
      <c r="A258" s="224"/>
      <c r="B258" s="2639" t="s">
        <v>388</v>
      </c>
      <c r="C258" s="2640"/>
      <c r="D258" s="2640"/>
      <c r="E258" s="212"/>
      <c r="F258" s="61"/>
      <c r="G258" s="61"/>
      <c r="H258" s="61"/>
      <c r="I258" s="213"/>
      <c r="J258" s="513"/>
      <c r="K258" s="769"/>
      <c r="L258" s="819"/>
      <c r="M258" s="852"/>
      <c r="N258" s="871"/>
      <c r="O258" s="853"/>
      <c r="P258" s="853"/>
      <c r="Q258" s="871"/>
      <c r="R258" s="823"/>
      <c r="S258" s="130"/>
    </row>
    <row r="259" spans="1:19" ht="93.75" customHeight="1" x14ac:dyDescent="0.3">
      <c r="A259" s="224"/>
      <c r="B259" s="2634" t="s">
        <v>389</v>
      </c>
      <c r="C259" s="2641"/>
      <c r="D259" s="2641"/>
      <c r="E259" s="212"/>
      <c r="F259" s="61"/>
      <c r="G259" s="61"/>
      <c r="H259" s="61"/>
      <c r="I259" s="213"/>
      <c r="J259" s="513"/>
      <c r="K259" s="769"/>
      <c r="L259" s="843"/>
      <c r="M259" s="852"/>
      <c r="N259" s="882"/>
      <c r="O259" s="853"/>
      <c r="P259" s="853"/>
      <c r="Q259" s="882"/>
      <c r="R259" s="883"/>
      <c r="S259" s="130"/>
    </row>
    <row r="260" spans="1:19" ht="90.75" customHeight="1" x14ac:dyDescent="0.3">
      <c r="A260" s="224"/>
      <c r="B260" s="2642" t="s">
        <v>390</v>
      </c>
      <c r="C260" s="2643"/>
      <c r="D260" s="2643"/>
      <c r="E260" s="582"/>
      <c r="F260" s="547"/>
      <c r="G260" s="547"/>
      <c r="H260" s="547"/>
      <c r="I260" s="562"/>
      <c r="J260" s="274"/>
      <c r="K260" s="776"/>
      <c r="L260" s="843"/>
      <c r="M260" s="852"/>
      <c r="N260" s="882"/>
      <c r="O260" s="853"/>
      <c r="P260" s="853"/>
      <c r="Q260" s="882"/>
      <c r="R260" s="883"/>
      <c r="S260" s="130"/>
    </row>
    <row r="261" spans="1:19" ht="89.25" customHeight="1" x14ac:dyDescent="0.3">
      <c r="A261" s="224"/>
      <c r="B261" s="63"/>
      <c r="C261" s="277" t="s">
        <v>271</v>
      </c>
      <c r="D261" s="371" t="s">
        <v>634</v>
      </c>
      <c r="E261" s="563"/>
      <c r="F261" s="564">
        <f>18700</f>
        <v>18700</v>
      </c>
      <c r="G261" s="564"/>
      <c r="H261" s="564"/>
      <c r="I261" s="545">
        <f t="shared" ref="I261:I266" si="47">SUM(E261:H261)</f>
        <v>18700</v>
      </c>
      <c r="J261" s="279" t="s">
        <v>58</v>
      </c>
      <c r="K261" s="772" t="s">
        <v>635</v>
      </c>
      <c r="L261" s="866">
        <v>1</v>
      </c>
      <c r="M261" s="867">
        <v>45</v>
      </c>
      <c r="N261" s="868">
        <v>170</v>
      </c>
      <c r="O261" s="868">
        <v>2</v>
      </c>
      <c r="P261" s="868" t="s">
        <v>579</v>
      </c>
      <c r="Q261" s="868">
        <f>2000*1 +1400</f>
        <v>3400</v>
      </c>
      <c r="R261" s="863">
        <f t="shared" ref="R261:R266" si="48">(L261*M261*N261*O261)+Q261</f>
        <v>18700</v>
      </c>
      <c r="S261" s="130"/>
    </row>
    <row r="262" spans="1:19" ht="138" customHeight="1" x14ac:dyDescent="0.3">
      <c r="A262" s="224"/>
      <c r="B262" s="63"/>
      <c r="C262" s="277" t="s">
        <v>273</v>
      </c>
      <c r="D262" s="371" t="s">
        <v>738</v>
      </c>
      <c r="E262" s="563">
        <v>29000</v>
      </c>
      <c r="F262" s="564">
        <v>0</v>
      </c>
      <c r="G262" s="564">
        <v>0</v>
      </c>
      <c r="H262" s="564"/>
      <c r="I262" s="545">
        <f t="shared" si="47"/>
        <v>29000</v>
      </c>
      <c r="J262" s="279" t="s">
        <v>58</v>
      </c>
      <c r="K262" s="772" t="s">
        <v>636</v>
      </c>
      <c r="L262" s="887">
        <v>1</v>
      </c>
      <c r="M262" s="888">
        <v>55</v>
      </c>
      <c r="N262" s="821">
        <v>195</v>
      </c>
      <c r="O262" s="889">
        <v>2</v>
      </c>
      <c r="P262" s="889" t="s">
        <v>581</v>
      </c>
      <c r="Q262" s="871">
        <v>7550</v>
      </c>
      <c r="R262" s="823">
        <f t="shared" si="48"/>
        <v>29000</v>
      </c>
      <c r="S262" s="130"/>
    </row>
    <row r="263" spans="1:19" ht="87" customHeight="1" x14ac:dyDescent="0.3">
      <c r="A263" s="224"/>
      <c r="B263" s="372"/>
      <c r="C263" s="373" t="s">
        <v>275</v>
      </c>
      <c r="D263" s="646" t="s">
        <v>719</v>
      </c>
      <c r="E263" s="566"/>
      <c r="F263" s="465"/>
      <c r="G263" s="465">
        <f>9600</f>
        <v>9600</v>
      </c>
      <c r="H263" s="465"/>
      <c r="I263" s="545">
        <f t="shared" si="47"/>
        <v>9600</v>
      </c>
      <c r="J263" s="326" t="s">
        <v>58</v>
      </c>
      <c r="K263" s="1347" t="s">
        <v>1040</v>
      </c>
      <c r="L263" s="887">
        <v>1</v>
      </c>
      <c r="M263" s="888">
        <v>15</v>
      </c>
      <c r="N263" s="821">
        <v>170</v>
      </c>
      <c r="O263" s="889">
        <v>2</v>
      </c>
      <c r="P263" s="889" t="s">
        <v>579</v>
      </c>
      <c r="Q263" s="871">
        <v>4500</v>
      </c>
      <c r="R263" s="823">
        <f t="shared" si="48"/>
        <v>9600</v>
      </c>
      <c r="S263" s="130"/>
    </row>
    <row r="264" spans="1:19" ht="70.5" customHeight="1" x14ac:dyDescent="0.3">
      <c r="A264" s="224"/>
      <c r="B264" s="470"/>
      <c r="C264" s="472" t="s">
        <v>703</v>
      </c>
      <c r="D264" s="502" t="s">
        <v>720</v>
      </c>
      <c r="E264" s="550"/>
      <c r="F264" s="473"/>
      <c r="G264" s="465"/>
      <c r="H264" s="465">
        <f>6000</f>
        <v>6000</v>
      </c>
      <c r="I264" s="627">
        <f t="shared" ref="I264" si="49">SUM(E264:H264)</f>
        <v>6000</v>
      </c>
      <c r="J264" s="456" t="s">
        <v>58</v>
      </c>
      <c r="K264" s="791" t="s">
        <v>725</v>
      </c>
      <c r="L264" s="887">
        <v>1</v>
      </c>
      <c r="M264" s="890">
        <v>200</v>
      </c>
      <c r="N264" s="821">
        <v>30</v>
      </c>
      <c r="O264" s="891">
        <v>1</v>
      </c>
      <c r="P264" s="891" t="s">
        <v>579</v>
      </c>
      <c r="Q264" s="871"/>
      <c r="R264" s="828">
        <f t="shared" si="48"/>
        <v>6000</v>
      </c>
      <c r="S264" s="130"/>
    </row>
    <row r="265" spans="1:19" ht="91.5" customHeight="1" x14ac:dyDescent="0.3">
      <c r="A265" s="224"/>
      <c r="B265" s="470"/>
      <c r="C265" s="472" t="s">
        <v>704</v>
      </c>
      <c r="D265" s="502" t="s">
        <v>705</v>
      </c>
      <c r="E265" s="550"/>
      <c r="F265" s="473"/>
      <c r="G265" s="457"/>
      <c r="H265" s="457">
        <f>12600+1400</f>
        <v>14000</v>
      </c>
      <c r="I265" s="627">
        <f t="shared" ref="I265" si="50">SUM(E265:H265)</f>
        <v>14000</v>
      </c>
      <c r="J265" s="456" t="s">
        <v>58</v>
      </c>
      <c r="K265" s="791" t="s">
        <v>922</v>
      </c>
      <c r="L265" s="887">
        <v>2</v>
      </c>
      <c r="M265" s="890">
        <v>160</v>
      </c>
      <c r="N265" s="821">
        <v>30</v>
      </c>
      <c r="O265" s="891">
        <v>1</v>
      </c>
      <c r="P265" s="891" t="s">
        <v>579</v>
      </c>
      <c r="Q265" s="871">
        <f>4000+400</f>
        <v>4400</v>
      </c>
      <c r="R265" s="828">
        <f t="shared" si="48"/>
        <v>14000</v>
      </c>
      <c r="S265" s="130"/>
    </row>
    <row r="266" spans="1:19" ht="103.5" customHeight="1" x14ac:dyDescent="0.3">
      <c r="A266" s="224"/>
      <c r="B266" s="372"/>
      <c r="C266" s="373" t="s">
        <v>569</v>
      </c>
      <c r="D266" s="471" t="s">
        <v>737</v>
      </c>
      <c r="E266" s="569">
        <f>21500</f>
        <v>21500</v>
      </c>
      <c r="F266" s="564"/>
      <c r="G266" s="564"/>
      <c r="H266" s="564"/>
      <c r="I266" s="551">
        <f t="shared" si="47"/>
        <v>21500</v>
      </c>
      <c r="J266" s="279" t="s">
        <v>58</v>
      </c>
      <c r="K266" s="772" t="s">
        <v>637</v>
      </c>
      <c r="L266" s="887">
        <v>1</v>
      </c>
      <c r="M266" s="888">
        <v>50</v>
      </c>
      <c r="N266" s="821">
        <v>195</v>
      </c>
      <c r="O266" s="889">
        <v>2</v>
      </c>
      <c r="P266" s="889" t="s">
        <v>581</v>
      </c>
      <c r="Q266" s="871">
        <f>2000</f>
        <v>2000</v>
      </c>
      <c r="R266" s="823">
        <f t="shared" si="48"/>
        <v>21500</v>
      </c>
      <c r="S266" s="130"/>
    </row>
    <row r="267" spans="1:19" ht="27" customHeight="1" thickBot="1" x14ac:dyDescent="0.35">
      <c r="A267" s="224"/>
      <c r="B267" s="372"/>
      <c r="C267" s="370"/>
      <c r="D267" s="503"/>
      <c r="E267" s="612"/>
      <c r="F267" s="613"/>
      <c r="G267" s="613"/>
      <c r="H267" s="613"/>
      <c r="I267" s="614"/>
      <c r="J267" s="353"/>
      <c r="K267" s="434"/>
      <c r="L267" s="843"/>
      <c r="M267" s="852"/>
      <c r="N267" s="882"/>
      <c r="O267" s="853"/>
      <c r="P267" s="853"/>
      <c r="Q267" s="882"/>
      <c r="R267" s="883"/>
      <c r="S267" s="130"/>
    </row>
    <row r="268" spans="1:19" ht="33.75" customHeight="1" thickBot="1" x14ac:dyDescent="0.35">
      <c r="A268" s="233"/>
      <c r="B268" s="374" t="s">
        <v>45</v>
      </c>
      <c r="C268" s="375"/>
      <c r="D268" s="504"/>
      <c r="E268" s="218">
        <f>SUM(E261:E267)</f>
        <v>50500</v>
      </c>
      <c r="F268" s="218">
        <f t="shared" ref="F268:I268" si="51">SUM(F261:F267)</f>
        <v>18700</v>
      </c>
      <c r="G268" s="218">
        <f t="shared" si="51"/>
        <v>9600</v>
      </c>
      <c r="H268" s="218">
        <f t="shared" si="51"/>
        <v>20000</v>
      </c>
      <c r="I268" s="218">
        <f t="shared" si="51"/>
        <v>98800</v>
      </c>
      <c r="J268" s="536"/>
      <c r="K268" s="805"/>
      <c r="L268" s="819"/>
      <c r="M268" s="852"/>
      <c r="N268" s="871"/>
      <c r="O268" s="853"/>
      <c r="P268" s="853"/>
      <c r="Q268" s="871"/>
      <c r="R268" s="879">
        <f>SUM(R261:R267)</f>
        <v>98800</v>
      </c>
      <c r="S268" s="130"/>
    </row>
    <row r="269" spans="1:19" ht="9.75" customHeight="1" thickBot="1" x14ac:dyDescent="0.35">
      <c r="A269" s="233"/>
      <c r="B269" s="376" t="s">
        <v>155</v>
      </c>
      <c r="C269" s="377"/>
      <c r="D269" s="505"/>
      <c r="E269" s="219"/>
      <c r="F269" s="220"/>
      <c r="G269" s="220"/>
      <c r="H269" s="220"/>
      <c r="I269" s="221"/>
      <c r="J269" s="537"/>
      <c r="K269" s="731"/>
      <c r="L269" s="819"/>
      <c r="M269" s="852"/>
      <c r="N269" s="871"/>
      <c r="O269" s="853"/>
      <c r="P269" s="853"/>
      <c r="Q269" s="871"/>
      <c r="R269" s="823"/>
      <c r="S269" s="130"/>
    </row>
    <row r="270" spans="1:19" ht="106.5" customHeight="1" x14ac:dyDescent="0.3">
      <c r="A270" s="224"/>
      <c r="B270" s="2644" t="s">
        <v>277</v>
      </c>
      <c r="C270" s="2645"/>
      <c r="D270" s="506"/>
      <c r="E270" s="628"/>
      <c r="F270" s="629"/>
      <c r="G270" s="629"/>
      <c r="H270" s="629"/>
      <c r="I270" s="630"/>
      <c r="J270" s="378"/>
      <c r="K270" s="435"/>
      <c r="L270" s="819"/>
      <c r="M270" s="852"/>
      <c r="N270" s="871"/>
      <c r="O270" s="853"/>
      <c r="P270" s="853"/>
      <c r="Q270" s="871"/>
      <c r="R270" s="823"/>
      <c r="S270" s="130"/>
    </row>
    <row r="271" spans="1:19" ht="45.75" customHeight="1" x14ac:dyDescent="0.3">
      <c r="A271" s="224"/>
      <c r="B271" s="2646" t="s">
        <v>391</v>
      </c>
      <c r="C271" s="2647"/>
      <c r="D271" s="2648"/>
      <c r="E271" s="583"/>
      <c r="F271" s="584"/>
      <c r="G271" s="584"/>
      <c r="H271" s="584"/>
      <c r="I271" s="585"/>
      <c r="J271" s="513"/>
      <c r="K271" s="769"/>
      <c r="L271" s="819"/>
      <c r="M271" s="852"/>
      <c r="N271" s="871"/>
      <c r="O271" s="853"/>
      <c r="P271" s="853"/>
      <c r="Q271" s="871"/>
      <c r="R271" s="823"/>
      <c r="S271" s="130"/>
    </row>
    <row r="272" spans="1:19" ht="69.75" customHeight="1" x14ac:dyDescent="0.3">
      <c r="A272" s="224"/>
      <c r="B272" s="2634" t="s">
        <v>392</v>
      </c>
      <c r="C272" s="2635"/>
      <c r="D272" s="2635"/>
      <c r="E272" s="212"/>
      <c r="F272" s="61"/>
      <c r="G272" s="61"/>
      <c r="H272" s="61"/>
      <c r="I272" s="213"/>
      <c r="J272" s="513"/>
      <c r="K272" s="769"/>
      <c r="L272" s="819"/>
      <c r="M272" s="852"/>
      <c r="N272" s="871"/>
      <c r="O272" s="853"/>
      <c r="P272" s="853"/>
      <c r="Q272" s="871"/>
      <c r="R272" s="823"/>
      <c r="S272" s="130"/>
    </row>
    <row r="273" spans="1:19" ht="93" customHeight="1" x14ac:dyDescent="0.3">
      <c r="A273" s="224"/>
      <c r="B273" s="2634" t="s">
        <v>393</v>
      </c>
      <c r="C273" s="2635"/>
      <c r="D273" s="2635"/>
      <c r="E273" s="212"/>
      <c r="F273" s="61"/>
      <c r="G273" s="61"/>
      <c r="H273" s="572"/>
      <c r="I273" s="213"/>
      <c r="J273" s="513"/>
      <c r="K273" s="769"/>
      <c r="L273" s="819"/>
      <c r="M273" s="852"/>
      <c r="N273" s="871"/>
      <c r="O273" s="853"/>
      <c r="P273" s="853"/>
      <c r="Q273" s="871"/>
      <c r="R273" s="823"/>
      <c r="S273" s="130"/>
    </row>
    <row r="274" spans="1:19" ht="116.25" customHeight="1" x14ac:dyDescent="0.3">
      <c r="A274" s="224"/>
      <c r="B274" s="354"/>
      <c r="C274" s="355" t="s">
        <v>278</v>
      </c>
      <c r="D274" s="507" t="s">
        <v>279</v>
      </c>
      <c r="E274" s="579">
        <f>19700</f>
        <v>19700</v>
      </c>
      <c r="F274" s="580"/>
      <c r="G274" s="580"/>
      <c r="H274" s="564"/>
      <c r="I274" s="545">
        <f t="shared" ref="I274:I282" si="52">SUM(E274:H274)</f>
        <v>19700</v>
      </c>
      <c r="J274" s="520" t="s">
        <v>58</v>
      </c>
      <c r="K274" s="782" t="s">
        <v>638</v>
      </c>
      <c r="L274" s="887">
        <v>1</v>
      </c>
      <c r="M274" s="888">
        <v>30</v>
      </c>
      <c r="N274" s="821">
        <v>195</v>
      </c>
      <c r="O274" s="889">
        <v>3</v>
      </c>
      <c r="P274" s="889" t="s">
        <v>579</v>
      </c>
      <c r="Q274" s="871">
        <f>2000+150</f>
        <v>2150</v>
      </c>
      <c r="R274" s="823">
        <f t="shared" ref="R274:R280" si="53">L274*M274*N274*O274+Q274</f>
        <v>19700</v>
      </c>
      <c r="S274" s="130"/>
    </row>
    <row r="275" spans="1:19" ht="64.5" customHeight="1" x14ac:dyDescent="0.3">
      <c r="A275" s="224"/>
      <c r="B275" s="63"/>
      <c r="C275" s="355" t="s">
        <v>539</v>
      </c>
      <c r="D275" s="371" t="s">
        <v>540</v>
      </c>
      <c r="E275" s="606"/>
      <c r="F275" s="580"/>
      <c r="G275" s="580"/>
      <c r="H275" s="564">
        <f>2400</f>
        <v>2400</v>
      </c>
      <c r="I275" s="545">
        <f t="shared" si="52"/>
        <v>2400</v>
      </c>
      <c r="J275" s="520" t="s">
        <v>58</v>
      </c>
      <c r="K275" s="785" t="s">
        <v>541</v>
      </c>
      <c r="L275" s="892">
        <v>1</v>
      </c>
      <c r="M275" s="827">
        <v>300</v>
      </c>
      <c r="N275" s="889">
        <v>8</v>
      </c>
      <c r="O275" s="889">
        <v>1</v>
      </c>
      <c r="P275" s="871" t="s">
        <v>579</v>
      </c>
      <c r="Q275" s="872">
        <v>0</v>
      </c>
      <c r="R275" s="823">
        <f t="shared" si="53"/>
        <v>2400</v>
      </c>
      <c r="S275" s="130"/>
    </row>
    <row r="276" spans="1:19" ht="91.5" customHeight="1" x14ac:dyDescent="0.3">
      <c r="A276" s="224"/>
      <c r="B276" s="63"/>
      <c r="C276" s="355" t="s">
        <v>281</v>
      </c>
      <c r="D276" s="371" t="s">
        <v>639</v>
      </c>
      <c r="E276" s="563">
        <v>15100</v>
      </c>
      <c r="F276" s="564">
        <v>50800</v>
      </c>
      <c r="G276" s="564"/>
      <c r="H276" s="564"/>
      <c r="I276" s="545">
        <f t="shared" si="52"/>
        <v>65900</v>
      </c>
      <c r="J276" s="279" t="s">
        <v>58</v>
      </c>
      <c r="K276" s="772" t="s">
        <v>640</v>
      </c>
      <c r="L276" s="892">
        <v>2</v>
      </c>
      <c r="M276" s="827">
        <v>6</v>
      </c>
      <c r="N276" s="889">
        <v>337</v>
      </c>
      <c r="O276" s="889">
        <v>15</v>
      </c>
      <c r="P276" s="871" t="s">
        <v>579</v>
      </c>
      <c r="Q276" s="872">
        <f>I276-60660</f>
        <v>5240</v>
      </c>
      <c r="R276" s="823">
        <f t="shared" si="53"/>
        <v>65900</v>
      </c>
      <c r="S276" s="130"/>
    </row>
    <row r="277" spans="1:19" ht="151.5" customHeight="1" thickBot="1" x14ac:dyDescent="0.35">
      <c r="A277" s="224"/>
      <c r="B277" s="281"/>
      <c r="C277" s="355" t="s">
        <v>282</v>
      </c>
      <c r="D277" s="371" t="s">
        <v>283</v>
      </c>
      <c r="E277" s="994">
        <f>11200</f>
        <v>11200</v>
      </c>
      <c r="F277" s="995">
        <f>27000</f>
        <v>27000</v>
      </c>
      <c r="G277" s="995"/>
      <c r="H277" s="995"/>
      <c r="I277" s="987">
        <f t="shared" si="52"/>
        <v>38200</v>
      </c>
      <c r="J277" s="996" t="s">
        <v>58</v>
      </c>
      <c r="K277" s="997" t="s">
        <v>785</v>
      </c>
      <c r="L277" s="892">
        <v>2</v>
      </c>
      <c r="M277" s="827">
        <v>10</v>
      </c>
      <c r="N277" s="889">
        <v>250</v>
      </c>
      <c r="O277" s="889">
        <v>5</v>
      </c>
      <c r="P277" s="871" t="s">
        <v>579</v>
      </c>
      <c r="Q277" s="872">
        <f>13200</f>
        <v>13200</v>
      </c>
      <c r="R277" s="823">
        <f t="shared" si="53"/>
        <v>38200</v>
      </c>
      <c r="S277" s="130"/>
    </row>
    <row r="278" spans="1:19" ht="135" customHeight="1" x14ac:dyDescent="0.3">
      <c r="A278" s="224"/>
      <c r="B278" s="63"/>
      <c r="C278" s="355" t="s">
        <v>284</v>
      </c>
      <c r="D278" s="371" t="s">
        <v>641</v>
      </c>
      <c r="E278" s="990">
        <f>43900</f>
        <v>43900</v>
      </c>
      <c r="F278" s="991">
        <v>23100</v>
      </c>
      <c r="G278" s="991">
        <v>4000</v>
      </c>
      <c r="H278" s="991"/>
      <c r="I278" s="213">
        <f t="shared" si="52"/>
        <v>71000</v>
      </c>
      <c r="J278" s="992" t="s">
        <v>61</v>
      </c>
      <c r="K278" s="993" t="s">
        <v>786</v>
      </c>
      <c r="L278" s="892">
        <v>2</v>
      </c>
      <c r="M278" s="827">
        <v>55</v>
      </c>
      <c r="N278" s="889">
        <v>195</v>
      </c>
      <c r="O278" s="889">
        <v>3</v>
      </c>
      <c r="P278" s="871" t="s">
        <v>579</v>
      </c>
      <c r="Q278" s="872">
        <f>400*3*3+(3050)</f>
        <v>6650</v>
      </c>
      <c r="R278" s="823">
        <f t="shared" si="53"/>
        <v>71000</v>
      </c>
      <c r="S278" s="130"/>
    </row>
    <row r="279" spans="1:19" ht="99.75" customHeight="1" x14ac:dyDescent="0.3">
      <c r="A279" s="224"/>
      <c r="B279" s="204"/>
      <c r="C279" s="64" t="s">
        <v>707</v>
      </c>
      <c r="D279" s="474" t="s">
        <v>706</v>
      </c>
      <c r="E279" s="631"/>
      <c r="F279" s="632"/>
      <c r="G279" s="1270">
        <f>4000</f>
        <v>4000</v>
      </c>
      <c r="H279" s="1270">
        <f>5600</f>
        <v>5600</v>
      </c>
      <c r="I279" s="545">
        <f t="shared" si="52"/>
        <v>9600</v>
      </c>
      <c r="J279" s="538" t="s">
        <v>61</v>
      </c>
      <c r="K279" s="806" t="s">
        <v>724</v>
      </c>
      <c r="L279" s="887">
        <v>1</v>
      </c>
      <c r="M279" s="890">
        <v>160</v>
      </c>
      <c r="N279" s="821">
        <v>30</v>
      </c>
      <c r="O279" s="891">
        <v>2</v>
      </c>
      <c r="P279" s="891" t="s">
        <v>581</v>
      </c>
      <c r="Q279" s="871">
        <v>0</v>
      </c>
      <c r="R279" s="828">
        <f t="shared" ref="R279" si="54">(L279*M279*N279*O279)+Q279</f>
        <v>9600</v>
      </c>
      <c r="S279" s="130"/>
    </row>
    <row r="280" spans="1:19" ht="72.75" customHeight="1" x14ac:dyDescent="0.3">
      <c r="A280" s="224"/>
      <c r="B280" s="138"/>
      <c r="C280" s="355" t="s">
        <v>286</v>
      </c>
      <c r="D280" s="371" t="s">
        <v>287</v>
      </c>
      <c r="E280" s="550">
        <f>4300</f>
        <v>4300</v>
      </c>
      <c r="F280" s="457">
        <f>2800</f>
        <v>2800</v>
      </c>
      <c r="G280" s="457"/>
      <c r="H280" s="564"/>
      <c r="I280" s="545">
        <f t="shared" si="52"/>
        <v>7100</v>
      </c>
      <c r="J280" s="279" t="s">
        <v>61</v>
      </c>
      <c r="K280" s="785" t="s">
        <v>642</v>
      </c>
      <c r="L280" s="892">
        <v>2</v>
      </c>
      <c r="M280" s="827">
        <v>60</v>
      </c>
      <c r="N280" s="889">
        <v>58</v>
      </c>
      <c r="O280" s="889">
        <v>1</v>
      </c>
      <c r="P280" s="871" t="s">
        <v>579</v>
      </c>
      <c r="Q280" s="872">
        <f>140</f>
        <v>140</v>
      </c>
      <c r="R280" s="823">
        <f t="shared" si="53"/>
        <v>7100</v>
      </c>
      <c r="S280" s="130"/>
    </row>
    <row r="281" spans="1:19" ht="126.75" customHeight="1" x14ac:dyDescent="0.3">
      <c r="A281" s="224"/>
      <c r="B281" s="63"/>
      <c r="C281" s="355" t="s">
        <v>289</v>
      </c>
      <c r="D281" s="371" t="s">
        <v>290</v>
      </c>
      <c r="E281" s="550">
        <v>42900</v>
      </c>
      <c r="F281" s="457"/>
      <c r="G281" s="457"/>
      <c r="H281" s="564"/>
      <c r="I281" s="545">
        <f t="shared" si="52"/>
        <v>42900</v>
      </c>
      <c r="J281" s="279" t="s">
        <v>61</v>
      </c>
      <c r="K281" s="785" t="s">
        <v>643</v>
      </c>
      <c r="L281" s="892">
        <v>1</v>
      </c>
      <c r="M281" s="827">
        <v>60</v>
      </c>
      <c r="N281" s="889">
        <v>195</v>
      </c>
      <c r="O281" s="889">
        <v>3</v>
      </c>
      <c r="P281" s="871" t="s">
        <v>579</v>
      </c>
      <c r="Q281" s="872">
        <f>3000+(400*3*4)</f>
        <v>7800</v>
      </c>
      <c r="R281" s="823">
        <f>L281*M281*N281*O281+Q281</f>
        <v>42900</v>
      </c>
      <c r="S281" s="130"/>
    </row>
    <row r="282" spans="1:19" ht="67.5" customHeight="1" x14ac:dyDescent="0.3">
      <c r="A282" s="224"/>
      <c r="B282" s="204"/>
      <c r="C282" s="444" t="s">
        <v>708</v>
      </c>
      <c r="D282" s="371" t="s">
        <v>736</v>
      </c>
      <c r="E282" s="631"/>
      <c r="F282" s="632"/>
      <c r="G282" s="632"/>
      <c r="H282" s="564">
        <f>11200</f>
        <v>11200</v>
      </c>
      <c r="I282" s="551">
        <f t="shared" si="52"/>
        <v>11200</v>
      </c>
      <c r="J282" s="538" t="s">
        <v>61</v>
      </c>
      <c r="K282" s="806" t="s">
        <v>878</v>
      </c>
      <c r="L282" s="887">
        <v>1</v>
      </c>
      <c r="M282" s="890">
        <v>160</v>
      </c>
      <c r="N282" s="821">
        <v>30</v>
      </c>
      <c r="O282" s="891">
        <v>2</v>
      </c>
      <c r="P282" s="891" t="s">
        <v>579</v>
      </c>
      <c r="Q282" s="871">
        <f>1600</f>
        <v>1600</v>
      </c>
      <c r="R282" s="828">
        <f t="shared" ref="R282" si="55">(L282*M282*N282*O282)+Q282</f>
        <v>11200</v>
      </c>
      <c r="S282" s="130"/>
    </row>
    <row r="283" spans="1:19" ht="32.25" customHeight="1" thickBot="1" x14ac:dyDescent="0.35">
      <c r="A283" s="224"/>
      <c r="B283" s="142"/>
      <c r="C283" s="64"/>
      <c r="D283" s="209"/>
      <c r="E283" s="212"/>
      <c r="F283" s="61"/>
      <c r="G283" s="61"/>
      <c r="H283" s="61"/>
      <c r="I283" s="213"/>
      <c r="J283" s="513"/>
      <c r="K283" s="769"/>
      <c r="L283" s="843"/>
      <c r="M283" s="852"/>
      <c r="N283" s="882"/>
      <c r="O283" s="882"/>
      <c r="P283" s="882"/>
      <c r="Q283" s="893"/>
      <c r="R283" s="894"/>
      <c r="S283" s="130"/>
    </row>
    <row r="284" spans="1:19" ht="33.75" customHeight="1" thickBot="1" x14ac:dyDescent="0.35">
      <c r="A284" s="224"/>
      <c r="B284" s="379" t="s">
        <v>45</v>
      </c>
      <c r="C284" s="380"/>
      <c r="D284" s="508"/>
      <c r="E284" s="608">
        <f>SUM(E274:E283)</f>
        <v>137100</v>
      </c>
      <c r="F284" s="608">
        <f t="shared" ref="F284:I284" si="56">SUM(F274:F283)</f>
        <v>103700</v>
      </c>
      <c r="G284" s="608">
        <f t="shared" si="56"/>
        <v>8000</v>
      </c>
      <c r="H284" s="608">
        <f t="shared" si="56"/>
        <v>19200</v>
      </c>
      <c r="I284" s="608">
        <f t="shared" si="56"/>
        <v>268000</v>
      </c>
      <c r="J284" s="532"/>
      <c r="K284" s="795"/>
      <c r="L284" s="886"/>
      <c r="M284" s="877"/>
      <c r="N284" s="878"/>
      <c r="O284" s="878"/>
      <c r="P284" s="878"/>
      <c r="Q284" s="878"/>
      <c r="R284" s="879">
        <f>SUM(R274:R283)</f>
        <v>268000</v>
      </c>
      <c r="S284" s="130"/>
    </row>
    <row r="285" spans="1:19" ht="34.5" customHeight="1" thickBot="1" x14ac:dyDescent="0.35">
      <c r="A285" s="224"/>
      <c r="B285" s="142"/>
      <c r="C285" s="64"/>
      <c r="D285" s="210"/>
      <c r="E285" s="216"/>
      <c r="F285" s="217"/>
      <c r="G285" s="217"/>
      <c r="H285" s="217"/>
      <c r="I285" s="215"/>
      <c r="J285" s="534"/>
      <c r="K285" s="803"/>
      <c r="L285" s="895"/>
      <c r="M285" s="896"/>
      <c r="N285" s="897"/>
      <c r="O285" s="891"/>
      <c r="P285" s="891"/>
      <c r="Q285" s="897"/>
      <c r="R285" s="898"/>
      <c r="S285" s="130"/>
    </row>
    <row r="286" spans="1:19" ht="40.5" customHeight="1" thickBot="1" x14ac:dyDescent="0.35">
      <c r="A286" s="381"/>
      <c r="B286" s="382" t="s">
        <v>291</v>
      </c>
      <c r="C286" s="383"/>
      <c r="D286" s="509"/>
      <c r="E286" s="633">
        <f>SUM(E71+E86+E108+E121+E129+E160+E171+E201+E253+E268+E284)</f>
        <v>1652767.7</v>
      </c>
      <c r="F286" s="633">
        <f>SUM(F71+F86+F108+F121+F129+F160+F171+F201+F253+F268+F284)</f>
        <v>1579446.44</v>
      </c>
      <c r="G286" s="633">
        <f>SUM(G71+G86+G108+G121+G129+G160+G171+G201+G253+G268+G284)</f>
        <v>932586.41</v>
      </c>
      <c r="H286" s="633">
        <f>SUM(H71+H86+H108+H121+H129+H160+H171+H201+H253+H268+H284)</f>
        <v>842819.89999999991</v>
      </c>
      <c r="I286" s="633">
        <f>SUM(I71+I86+I108+I121+I129+I160+I171+I201+I253+I268+I284)</f>
        <v>5007620.4499999993</v>
      </c>
      <c r="J286" s="539"/>
      <c r="K286" s="807"/>
      <c r="L286" s="899"/>
      <c r="M286" s="900"/>
      <c r="N286" s="901"/>
      <c r="O286" s="901"/>
      <c r="P286" s="901"/>
      <c r="Q286" s="901"/>
      <c r="R286" s="2488">
        <f>SUM(R71+R86+R108+R121+R129+R160+R171+R201+R253+R268+R284)</f>
        <v>5007620.4499999993</v>
      </c>
      <c r="S286" s="130"/>
    </row>
    <row r="287" spans="1:19" ht="33.75" customHeight="1" thickBot="1" x14ac:dyDescent="0.35">
      <c r="B287" s="384"/>
      <c r="C287" s="385"/>
      <c r="D287" s="510"/>
      <c r="E287" s="634"/>
      <c r="F287" s="635"/>
      <c r="G287" s="635"/>
      <c r="H287" s="635"/>
      <c r="I287" s="636"/>
      <c r="J287" s="540"/>
      <c r="K287" s="732"/>
      <c r="L287" s="887"/>
      <c r="M287" s="890"/>
      <c r="N287" s="897"/>
      <c r="O287" s="891"/>
      <c r="P287" s="891"/>
      <c r="Q287" s="897"/>
      <c r="R287" s="823"/>
    </row>
    <row r="288" spans="1:19" ht="21" thickBot="1" x14ac:dyDescent="0.35">
      <c r="A288" s="7"/>
      <c r="B288" s="386" t="s">
        <v>433</v>
      </c>
      <c r="C288" s="385"/>
      <c r="D288" s="510"/>
      <c r="E288" s="637">
        <v>87473.04</v>
      </c>
      <c r="F288" s="638">
        <v>76426.52</v>
      </c>
      <c r="G288" s="638">
        <f>40000</f>
        <v>40000</v>
      </c>
      <c r="H288" s="638">
        <v>35000</v>
      </c>
      <c r="I288" s="636">
        <f>SUM(E288:H288)</f>
        <v>238899.56</v>
      </c>
      <c r="J288" s="540"/>
      <c r="K288" s="732"/>
      <c r="L288" s="887"/>
      <c r="M288" s="890"/>
      <c r="N288" s="897"/>
      <c r="O288" s="891"/>
      <c r="P288" s="891"/>
      <c r="Q288" s="897"/>
      <c r="R288" s="823"/>
    </row>
    <row r="289" spans="1:18" ht="34.5" customHeight="1" thickBot="1" x14ac:dyDescent="0.35">
      <c r="A289" s="7"/>
      <c r="B289" s="387" t="s">
        <v>1154</v>
      </c>
      <c r="C289" s="388"/>
      <c r="D289" s="511"/>
      <c r="E289" s="639">
        <f>E286+E288</f>
        <v>1740240.74</v>
      </c>
      <c r="F289" s="640">
        <f>F286+F288</f>
        <v>1655872.96</v>
      </c>
      <c r="G289" s="640">
        <f>G286+G288</f>
        <v>972586.41</v>
      </c>
      <c r="H289" s="640">
        <f>H286+H288</f>
        <v>877819.89999999991</v>
      </c>
      <c r="I289" s="641">
        <f>I286+I288</f>
        <v>5246520.0099999988</v>
      </c>
      <c r="J289" s="541"/>
      <c r="K289" s="808"/>
      <c r="L289" s="902"/>
      <c r="M289" s="903"/>
      <c r="N289" s="903"/>
      <c r="O289" s="903"/>
      <c r="P289" s="903"/>
      <c r="Q289" s="903"/>
      <c r="R289" s="904"/>
    </row>
    <row r="290" spans="1:18" ht="27" customHeight="1" thickTop="1" x14ac:dyDescent="0.3">
      <c r="A290" s="7"/>
      <c r="B290" s="5"/>
      <c r="C290" s="5"/>
      <c r="D290" s="5"/>
      <c r="E290" s="5"/>
      <c r="F290" s="5"/>
      <c r="G290" s="82"/>
      <c r="H290" s="5"/>
      <c r="I290" s="5"/>
      <c r="J290" s="5"/>
      <c r="K290" s="389"/>
      <c r="L290" s="390"/>
      <c r="M290" s="391"/>
      <c r="N290" s="392"/>
      <c r="O290" s="393"/>
      <c r="P290" s="393"/>
      <c r="Q290" s="392"/>
      <c r="R290" s="392"/>
    </row>
    <row r="291" spans="1:18" ht="27" customHeight="1" x14ac:dyDescent="0.3">
      <c r="A291" s="7"/>
      <c r="B291" s="83"/>
      <c r="C291" s="83"/>
      <c r="D291" s="83"/>
      <c r="E291" s="83"/>
      <c r="F291" s="83"/>
      <c r="G291" s="83"/>
      <c r="H291" s="83"/>
      <c r="I291" s="83"/>
      <c r="J291" s="5"/>
      <c r="K291" s="389"/>
      <c r="L291" s="975"/>
      <c r="M291" s="419"/>
      <c r="N291" s="24"/>
      <c r="O291" s="420"/>
      <c r="P291" s="420"/>
      <c r="Q291" s="24"/>
      <c r="R291" s="24"/>
    </row>
    <row r="292" spans="1:18" ht="33" hidden="1" customHeight="1" thickBot="1" x14ac:dyDescent="0.35">
      <c r="A292" s="7"/>
      <c r="B292" s="387" t="s">
        <v>853</v>
      </c>
      <c r="C292" s="388"/>
      <c r="D292" s="511"/>
      <c r="E292" s="639">
        <f>E289+E291</f>
        <v>1740240.74</v>
      </c>
      <c r="F292" s="639">
        <f t="shared" ref="F292:I292" si="57">F289+F291</f>
        <v>1655872.96</v>
      </c>
      <c r="G292" s="639">
        <f t="shared" si="57"/>
        <v>972586.41</v>
      </c>
      <c r="H292" s="639">
        <f t="shared" si="57"/>
        <v>877819.89999999991</v>
      </c>
      <c r="I292" s="639">
        <f t="shared" si="57"/>
        <v>5246520.0099999988</v>
      </c>
      <c r="J292" s="5"/>
      <c r="K292" s="389"/>
      <c r="L292" s="975"/>
      <c r="M292" s="419"/>
      <c r="N292" s="24"/>
      <c r="O292" s="420"/>
      <c r="P292" s="420"/>
      <c r="Q292" s="24"/>
      <c r="R292" s="24"/>
    </row>
    <row r="293" spans="1:18" ht="27.75" customHeight="1" x14ac:dyDescent="0.35">
      <c r="A293" s="7"/>
      <c r="B293" s="5"/>
      <c r="C293" s="5"/>
      <c r="D293" s="81"/>
      <c r="E293" s="199"/>
      <c r="F293" s="199"/>
      <c r="G293" s="199"/>
      <c r="H293" s="199"/>
      <c r="I293" s="199"/>
      <c r="J293" s="5"/>
      <c r="K293" s="981"/>
      <c r="L293" s="335"/>
      <c r="M293" s="394"/>
      <c r="N293" s="395"/>
      <c r="O293" s="396"/>
      <c r="P293" s="396"/>
      <c r="Q293" s="395"/>
      <c r="R293" s="395"/>
    </row>
    <row r="294" spans="1:18" ht="20.25" x14ac:dyDescent="0.3">
      <c r="A294" s="7"/>
      <c r="B294" s="5"/>
      <c r="C294" s="5"/>
      <c r="D294" s="177"/>
      <c r="E294" s="397"/>
      <c r="F294" s="399"/>
      <c r="G294" s="5"/>
      <c r="H294" s="5"/>
      <c r="I294" s="5"/>
      <c r="J294" s="5"/>
      <c r="K294" s="981"/>
      <c r="L294" s="369"/>
      <c r="M294" s="394"/>
      <c r="N294" s="398"/>
      <c r="O294" s="396"/>
      <c r="P294" s="396"/>
      <c r="Q294" s="398"/>
      <c r="R294" s="395"/>
    </row>
    <row r="295" spans="1:18" ht="48.75" customHeight="1" x14ac:dyDescent="0.3">
      <c r="A295" s="7"/>
      <c r="B295" s="2632" t="s">
        <v>1137</v>
      </c>
      <c r="C295" s="2633"/>
      <c r="F295" s="178"/>
      <c r="G295" s="5"/>
      <c r="H295" s="5"/>
      <c r="I295" s="5"/>
      <c r="J295" s="5"/>
      <c r="K295" s="981"/>
      <c r="L295" s="335"/>
      <c r="M295" s="394"/>
      <c r="N295" s="83"/>
      <c r="O295" s="396"/>
      <c r="P295" s="396"/>
      <c r="Q295" s="83"/>
      <c r="R295" s="83"/>
    </row>
    <row r="296" spans="1:18" ht="20.25" x14ac:dyDescent="0.3">
      <c r="A296" s="7"/>
      <c r="B296" s="2632" t="s">
        <v>1138</v>
      </c>
      <c r="C296" s="2633"/>
      <c r="I296" s="82"/>
      <c r="J296" s="5"/>
      <c r="K296" s="5"/>
      <c r="L296" s="335"/>
      <c r="M296" s="394"/>
      <c r="N296" s="83"/>
      <c r="O296" s="396"/>
      <c r="P296" s="396"/>
      <c r="Q296" s="83"/>
      <c r="R296" s="83"/>
    </row>
    <row r="297" spans="1:18" ht="20.25" x14ac:dyDescent="0.3">
      <c r="A297" s="1100"/>
      <c r="B297" s="2534" t="s">
        <v>46</v>
      </c>
      <c r="C297" s="2535" t="s">
        <v>1139</v>
      </c>
      <c r="I297" s="82"/>
      <c r="J297" s="5"/>
      <c r="K297" s="5"/>
      <c r="L297" s="335"/>
      <c r="M297" s="394"/>
      <c r="N297" s="83"/>
      <c r="O297" s="396"/>
      <c r="P297" s="396"/>
      <c r="Q297" s="83"/>
      <c r="R297" s="83"/>
    </row>
    <row r="298" spans="1:18" ht="20.25" x14ac:dyDescent="0.3">
      <c r="A298" s="1100"/>
      <c r="B298" s="2534" t="s">
        <v>47</v>
      </c>
      <c r="C298" s="2535" t="s">
        <v>1140</v>
      </c>
      <c r="I298" s="82"/>
      <c r="J298" s="5"/>
      <c r="K298" s="5"/>
      <c r="L298" s="335"/>
      <c r="M298" s="394"/>
      <c r="N298" s="83"/>
      <c r="O298" s="396"/>
      <c r="P298" s="396"/>
      <c r="Q298" s="83"/>
      <c r="R298" s="83"/>
    </row>
    <row r="299" spans="1:18" ht="20.25" x14ac:dyDescent="0.3">
      <c r="A299" s="1100"/>
      <c r="B299" s="2534" t="s">
        <v>49</v>
      </c>
      <c r="C299" s="2535" t="s">
        <v>1141</v>
      </c>
      <c r="D299" s="2538" t="s">
        <v>1144</v>
      </c>
      <c r="I299" s="82"/>
      <c r="J299" s="5"/>
      <c r="K299" s="5"/>
      <c r="L299" s="335"/>
      <c r="M299" s="394"/>
      <c r="N299" s="83"/>
      <c r="O299" s="396"/>
      <c r="P299" s="396"/>
      <c r="Q299" s="83"/>
      <c r="R299" s="83"/>
    </row>
    <row r="300" spans="1:18" ht="21" thickBot="1" x14ac:dyDescent="0.35">
      <c r="A300" s="1100"/>
      <c r="E300" s="5"/>
      <c r="F300" s="5"/>
      <c r="G300" s="2532"/>
      <c r="H300" s="2533"/>
      <c r="I300" s="82"/>
      <c r="J300" s="5"/>
      <c r="K300" s="5"/>
      <c r="L300" s="335"/>
      <c r="M300" s="394"/>
      <c r="N300" s="83"/>
      <c r="O300" s="396"/>
      <c r="P300" s="396"/>
      <c r="Q300" s="83"/>
      <c r="R300" s="83"/>
    </row>
    <row r="301" spans="1:18" ht="20.25" x14ac:dyDescent="0.3">
      <c r="A301" s="401"/>
      <c r="E301" s="402" t="s">
        <v>857</v>
      </c>
      <c r="F301" s="403" t="s">
        <v>30</v>
      </c>
      <c r="G301" s="403" t="s">
        <v>28</v>
      </c>
      <c r="H301" s="403" t="s">
        <v>296</v>
      </c>
      <c r="I301" s="404" t="s">
        <v>45</v>
      </c>
      <c r="J301" s="404" t="s">
        <v>854</v>
      </c>
      <c r="K301" s="404" t="s">
        <v>293</v>
      </c>
      <c r="L301" s="335"/>
      <c r="M301" s="394"/>
      <c r="N301" s="405"/>
      <c r="O301" s="396"/>
      <c r="P301" s="396"/>
      <c r="Q301" s="405"/>
      <c r="R301" s="361"/>
    </row>
    <row r="302" spans="1:18" ht="21" thickBot="1" x14ac:dyDescent="0.35">
      <c r="A302" s="401"/>
      <c r="E302" s="1057"/>
      <c r="F302" s="406" t="s">
        <v>295</v>
      </c>
      <c r="G302" s="406" t="s">
        <v>295</v>
      </c>
      <c r="H302" s="406" t="s">
        <v>295</v>
      </c>
      <c r="I302" s="407" t="s">
        <v>295</v>
      </c>
      <c r="J302" s="407" t="s">
        <v>295</v>
      </c>
      <c r="K302" s="407" t="s">
        <v>295</v>
      </c>
      <c r="L302" s="335"/>
      <c r="M302" s="394"/>
      <c r="N302" s="405"/>
      <c r="O302" s="396"/>
      <c r="P302" s="396"/>
      <c r="Q302" s="405"/>
      <c r="R302" s="361"/>
    </row>
    <row r="303" spans="1:18" ht="20.25" x14ac:dyDescent="0.3">
      <c r="A303" s="408"/>
      <c r="E303" s="1058" t="s">
        <v>46</v>
      </c>
      <c r="F303" s="1059">
        <f>602482.23</f>
        <v>602482.23</v>
      </c>
      <c r="G303" s="1060">
        <v>1144751.3799999999</v>
      </c>
      <c r="H303" s="1060">
        <v>474592</v>
      </c>
      <c r="I303" s="1061">
        <f>SUM(F303:H303)</f>
        <v>2221825.61</v>
      </c>
      <c r="J303" s="1061"/>
      <c r="K303" s="1061">
        <f>I303+J303</f>
        <v>2221825.61</v>
      </c>
      <c r="L303" s="335"/>
      <c r="M303" s="394"/>
      <c r="N303" s="405"/>
      <c r="O303" s="396"/>
      <c r="P303" s="396"/>
      <c r="Q303" s="405"/>
      <c r="R303" s="361"/>
    </row>
    <row r="304" spans="1:18" ht="20.25" x14ac:dyDescent="0.3">
      <c r="A304" s="401"/>
      <c r="E304" s="651" t="s">
        <v>47</v>
      </c>
      <c r="F304" s="1059">
        <v>582479.03</v>
      </c>
      <c r="G304" s="1059">
        <v>697881.83</v>
      </c>
      <c r="H304" s="1059">
        <v>416200</v>
      </c>
      <c r="I304" s="1061">
        <f t="shared" ref="I304:I306" si="58">SUM(F304:H304)</f>
        <v>1696560.8599999999</v>
      </c>
      <c r="J304" s="1061"/>
      <c r="K304" s="1061">
        <f t="shared" ref="K304:K306" si="59">I304+J304</f>
        <v>1696560.8599999999</v>
      </c>
      <c r="L304" s="335"/>
      <c r="M304" s="394"/>
      <c r="N304" s="83"/>
      <c r="O304" s="396"/>
      <c r="P304" s="396"/>
      <c r="Q304" s="83"/>
      <c r="R304" s="361"/>
    </row>
    <row r="305" spans="1:18" ht="20.25" x14ac:dyDescent="0.3">
      <c r="A305" s="401"/>
      <c r="E305" s="701" t="s">
        <v>644</v>
      </c>
      <c r="F305" s="1062">
        <v>558846.54</v>
      </c>
      <c r="G305" s="1062">
        <v>0</v>
      </c>
      <c r="H305" s="1062">
        <f>150000-40792</f>
        <v>109208</v>
      </c>
      <c r="I305" s="1061">
        <f>SUM(F305:H305)</f>
        <v>668054.54</v>
      </c>
      <c r="J305" s="1061"/>
      <c r="K305" s="1061">
        <f t="shared" si="59"/>
        <v>668054.54</v>
      </c>
      <c r="L305" s="335"/>
      <c r="M305" s="394"/>
      <c r="N305" s="83"/>
      <c r="O305" s="396"/>
      <c r="P305" s="396"/>
      <c r="Q305" s="83"/>
      <c r="R305" s="361"/>
    </row>
    <row r="306" spans="1:18" ht="21" thickBot="1" x14ac:dyDescent="0.35">
      <c r="A306" s="401"/>
      <c r="E306" s="701" t="s">
        <v>49</v>
      </c>
      <c r="F306" s="1062"/>
      <c r="G306" s="1062">
        <v>160080</v>
      </c>
      <c r="H306" s="1062">
        <v>500000</v>
      </c>
      <c r="I306" s="1061">
        <f t="shared" si="58"/>
        <v>660080</v>
      </c>
      <c r="J306" s="1061"/>
      <c r="K306" s="1061">
        <f t="shared" si="59"/>
        <v>660080</v>
      </c>
      <c r="L306" s="335"/>
      <c r="M306" s="394"/>
      <c r="N306" s="83"/>
      <c r="O306" s="396"/>
      <c r="P306" s="396"/>
      <c r="Q306" s="83"/>
      <c r="R306" s="361"/>
    </row>
    <row r="307" spans="1:18" ht="21" thickBot="1" x14ac:dyDescent="0.35">
      <c r="A307" s="401"/>
      <c r="E307" s="969" t="s">
        <v>297</v>
      </c>
      <c r="F307" s="1063">
        <f>SUM(F303:F306)</f>
        <v>1743807.8</v>
      </c>
      <c r="G307" s="1063">
        <f t="shared" ref="G307:K307" si="60">SUM(G303:G306)</f>
        <v>2002713.21</v>
      </c>
      <c r="H307" s="1063">
        <f t="shared" si="60"/>
        <v>1500000</v>
      </c>
      <c r="I307" s="1063">
        <f t="shared" si="60"/>
        <v>5246521.01</v>
      </c>
      <c r="J307" s="1063">
        <f t="shared" si="60"/>
        <v>0</v>
      </c>
      <c r="K307" s="1066">
        <f t="shared" si="60"/>
        <v>5246521.01</v>
      </c>
      <c r="L307" s="335"/>
      <c r="M307" s="394"/>
      <c r="N307" s="405"/>
      <c r="O307" s="396"/>
      <c r="P307" s="396"/>
      <c r="Q307" s="405"/>
      <c r="R307" s="361"/>
    </row>
    <row r="308" spans="1:18" ht="21" thickBot="1" x14ac:dyDescent="0.35">
      <c r="A308" s="401"/>
      <c r="E308" s="5"/>
      <c r="F308" s="5"/>
      <c r="G308" s="5"/>
      <c r="H308" s="5"/>
      <c r="I308" s="5"/>
      <c r="J308" s="5"/>
      <c r="K308" s="389"/>
      <c r="L308" s="335"/>
      <c r="M308" s="394"/>
      <c r="N308" s="405"/>
      <c r="O308" s="396"/>
      <c r="P308" s="396"/>
      <c r="Q308" s="405"/>
      <c r="R308" s="361"/>
    </row>
    <row r="309" spans="1:18" ht="40.5" customHeight="1" thickTop="1" thickBot="1" x14ac:dyDescent="0.35">
      <c r="A309" s="401"/>
      <c r="E309" s="980" t="s">
        <v>856</v>
      </c>
      <c r="F309" s="409" t="s">
        <v>645</v>
      </c>
      <c r="G309" s="409" t="s">
        <v>646</v>
      </c>
      <c r="H309" s="409" t="s">
        <v>721</v>
      </c>
      <c r="I309" s="436"/>
      <c r="J309" s="410"/>
      <c r="K309" s="1067"/>
      <c r="L309" s="335"/>
      <c r="M309" s="394"/>
      <c r="N309" s="405"/>
      <c r="O309" s="396"/>
      <c r="P309" s="396"/>
      <c r="Q309" s="405"/>
      <c r="R309" s="361"/>
    </row>
    <row r="310" spans="1:18" ht="21.75" thickTop="1" thickBot="1" x14ac:dyDescent="0.35">
      <c r="A310" s="401"/>
      <c r="E310" s="5"/>
      <c r="F310" s="5"/>
      <c r="G310" s="5"/>
      <c r="H310" s="5"/>
      <c r="I310" s="5"/>
      <c r="J310" s="5"/>
      <c r="K310" s="389"/>
      <c r="L310" s="335"/>
      <c r="M310" s="394"/>
      <c r="N310" s="405"/>
      <c r="O310" s="396"/>
      <c r="P310" s="396"/>
      <c r="Q310" s="405"/>
      <c r="R310" s="361"/>
    </row>
    <row r="311" spans="1:18" ht="39" customHeight="1" thickTop="1" thickBot="1" x14ac:dyDescent="0.35">
      <c r="A311" s="401"/>
      <c r="E311" s="980" t="s">
        <v>1126</v>
      </c>
      <c r="F311" s="409">
        <f>F307/I307</f>
        <v>0.33237411928328486</v>
      </c>
      <c r="G311" s="409">
        <f>G307/I307</f>
        <v>0.3817221366659504</v>
      </c>
      <c r="H311" s="409">
        <f>H307/I307</f>
        <v>0.2859037440507648</v>
      </c>
      <c r="I311" s="436"/>
      <c r="J311" s="410"/>
      <c r="K311" s="389"/>
      <c r="L311" s="335"/>
      <c r="M311" s="394"/>
      <c r="N311" s="405"/>
      <c r="O311" s="396"/>
      <c r="P311" s="396"/>
      <c r="Q311" s="405"/>
      <c r="R311" s="361"/>
    </row>
    <row r="312" spans="1:18" ht="21.75" thickTop="1" thickBot="1" x14ac:dyDescent="0.35">
      <c r="A312" s="411"/>
      <c r="B312" s="412"/>
      <c r="C312" s="412"/>
      <c r="D312" s="413"/>
      <c r="E312" s="413"/>
      <c r="F312" s="413"/>
      <c r="G312" s="413"/>
      <c r="H312" s="413"/>
      <c r="I312" s="413"/>
      <c r="J312" s="82"/>
      <c r="K312" s="82"/>
      <c r="L312" s="335"/>
      <c r="M312" s="394"/>
      <c r="N312" s="405"/>
      <c r="O312" s="396"/>
      <c r="P312" s="396"/>
      <c r="Q312" s="405"/>
      <c r="R312" s="361"/>
    </row>
    <row r="313" spans="1:18" ht="20.25" x14ac:dyDescent="0.3">
      <c r="E313" s="5"/>
      <c r="F313" s="5"/>
      <c r="G313" s="5"/>
      <c r="H313" s="5"/>
      <c r="I313" s="5"/>
      <c r="J313" s="5"/>
      <c r="K313" s="5"/>
      <c r="L313" s="369"/>
      <c r="M313" s="394"/>
      <c r="N313" s="398"/>
      <c r="O313" s="396"/>
      <c r="P313" s="396"/>
      <c r="Q313" s="398"/>
      <c r="R313" s="395"/>
    </row>
    <row r="314" spans="1:18" ht="20.25" x14ac:dyDescent="0.3">
      <c r="E314" s="5"/>
      <c r="F314" s="5"/>
      <c r="G314" s="5"/>
      <c r="H314" s="5"/>
      <c r="I314" s="5"/>
      <c r="J314" s="5"/>
      <c r="K314" s="5"/>
      <c r="L314" s="418"/>
      <c r="M314" s="419"/>
      <c r="N314" s="83"/>
      <c r="O314" s="420"/>
      <c r="P314" s="420"/>
      <c r="Q314" s="398"/>
      <c r="R314" s="83"/>
    </row>
    <row r="315" spans="1:18" ht="20.25" x14ac:dyDescent="0.3">
      <c r="E315" s="5"/>
      <c r="F315" s="5"/>
      <c r="G315" s="5"/>
      <c r="H315" s="5"/>
      <c r="I315" s="5"/>
      <c r="J315" s="5"/>
      <c r="K315" s="5"/>
      <c r="L315" s="418"/>
      <c r="M315" s="419"/>
      <c r="N315" s="83"/>
      <c r="O315" s="420"/>
      <c r="P315" s="420"/>
      <c r="Q315" s="398"/>
      <c r="R315" s="83"/>
    </row>
    <row r="316" spans="1:18" ht="20.25" x14ac:dyDescent="0.3">
      <c r="E316" s="5"/>
      <c r="F316" s="5"/>
      <c r="G316" s="5"/>
      <c r="H316" s="5"/>
      <c r="I316" s="5"/>
      <c r="J316" s="5"/>
      <c r="K316" s="5"/>
      <c r="L316" s="418"/>
      <c r="M316" s="419"/>
      <c r="N316" s="83"/>
      <c r="O316" s="420"/>
      <c r="P316" s="420"/>
      <c r="Q316" s="398"/>
      <c r="R316" s="83"/>
    </row>
    <row r="317" spans="1:18" ht="20.25" x14ac:dyDescent="0.3">
      <c r="E317" s="5"/>
      <c r="F317" s="5"/>
      <c r="G317" s="5"/>
      <c r="H317" s="5"/>
      <c r="I317" s="5"/>
      <c r="J317" s="5"/>
      <c r="K317" s="5"/>
      <c r="L317" s="418"/>
      <c r="M317" s="419"/>
      <c r="N317" s="83"/>
      <c r="O317" s="420"/>
      <c r="P317" s="420"/>
      <c r="Q317" s="398"/>
      <c r="R317" s="83"/>
    </row>
    <row r="318" spans="1:18" ht="20.25" x14ac:dyDescent="0.3">
      <c r="E318" s="5"/>
      <c r="F318" s="5"/>
      <c r="G318" s="5"/>
      <c r="H318" s="5"/>
      <c r="I318" s="5"/>
      <c r="J318" s="5"/>
      <c r="K318" s="5"/>
      <c r="L318" s="418"/>
      <c r="M318" s="419"/>
      <c r="N318" s="83"/>
      <c r="O318" s="420"/>
      <c r="P318" s="420"/>
      <c r="Q318" s="398"/>
      <c r="R318" s="83"/>
    </row>
    <row r="319" spans="1:18" ht="20.25" x14ac:dyDescent="0.3">
      <c r="E319" s="5"/>
      <c r="F319" s="5"/>
      <c r="G319" s="5"/>
      <c r="H319" s="5"/>
      <c r="I319" s="5"/>
      <c r="J319" s="5"/>
      <c r="K319" s="5"/>
      <c r="L319" s="418"/>
      <c r="M319" s="419"/>
      <c r="N319" s="83"/>
      <c r="O319" s="420"/>
      <c r="P319" s="420"/>
      <c r="Q319" s="398"/>
      <c r="R319" s="83"/>
    </row>
    <row r="320" spans="1:18" ht="20.25" x14ac:dyDescent="0.3">
      <c r="E320" s="5"/>
      <c r="F320" s="5"/>
      <c r="G320" s="5"/>
      <c r="H320" s="5"/>
      <c r="I320" s="5"/>
      <c r="J320" s="5"/>
      <c r="K320" s="5"/>
      <c r="L320" s="418"/>
      <c r="M320" s="419"/>
      <c r="N320" s="83"/>
      <c r="O320" s="420"/>
      <c r="P320" s="420"/>
      <c r="Q320" s="398"/>
      <c r="R320" s="83"/>
    </row>
    <row r="321" spans="5:18" ht="20.25" x14ac:dyDescent="0.3">
      <c r="E321" s="5"/>
      <c r="F321" s="5"/>
      <c r="G321" s="5"/>
      <c r="H321" s="5"/>
      <c r="I321" s="5"/>
      <c r="J321" s="5"/>
      <c r="K321" s="5"/>
      <c r="L321" s="418"/>
      <c r="M321" s="419"/>
      <c r="N321" s="83"/>
      <c r="O321" s="420"/>
      <c r="P321" s="420"/>
      <c r="Q321" s="398"/>
      <c r="R321" s="83"/>
    </row>
    <row r="322" spans="5:18" ht="20.25" x14ac:dyDescent="0.3">
      <c r="E322" s="5"/>
      <c r="F322" s="5"/>
      <c r="G322" s="5"/>
      <c r="H322" s="5"/>
      <c r="I322" s="5"/>
      <c r="J322" s="5"/>
      <c r="K322" s="5"/>
      <c r="L322" s="418"/>
      <c r="M322" s="419"/>
      <c r="N322" s="83"/>
      <c r="O322" s="420"/>
      <c r="P322" s="420"/>
      <c r="Q322" s="398"/>
      <c r="R322" s="83"/>
    </row>
    <row r="323" spans="5:18" ht="20.25" x14ac:dyDescent="0.3">
      <c r="E323" s="5"/>
      <c r="F323" s="5"/>
      <c r="G323" s="5"/>
      <c r="H323" s="5"/>
      <c r="I323" s="5"/>
      <c r="J323" s="5"/>
      <c r="K323" s="5"/>
      <c r="L323" s="418"/>
      <c r="M323" s="419"/>
      <c r="N323" s="83"/>
      <c r="O323" s="420"/>
      <c r="P323" s="420"/>
      <c r="Q323" s="398"/>
      <c r="R323" s="83"/>
    </row>
    <row r="324" spans="5:18" ht="20.25" x14ac:dyDescent="0.3">
      <c r="E324" s="5"/>
      <c r="F324" s="5"/>
      <c r="G324" s="5"/>
      <c r="H324" s="5"/>
      <c r="I324" s="5"/>
      <c r="J324" s="5"/>
      <c r="K324" s="5"/>
      <c r="L324" s="418"/>
      <c r="M324" s="419"/>
      <c r="N324" s="83"/>
      <c r="O324" s="420"/>
      <c r="P324" s="420"/>
      <c r="Q324" s="398"/>
      <c r="R324" s="83"/>
    </row>
    <row r="325" spans="5:18" ht="20.25" x14ac:dyDescent="0.3">
      <c r="E325" s="5"/>
      <c r="F325" s="5"/>
      <c r="G325" s="5"/>
      <c r="H325" s="5"/>
      <c r="I325" s="5"/>
      <c r="J325" s="5"/>
      <c r="K325" s="5"/>
      <c r="L325" s="418"/>
      <c r="M325" s="419"/>
      <c r="N325" s="83"/>
      <c r="O325" s="420"/>
      <c r="P325" s="420"/>
      <c r="Q325" s="398"/>
      <c r="R325" s="83"/>
    </row>
    <row r="326" spans="5:18" ht="20.25" x14ac:dyDescent="0.3">
      <c r="E326" s="5"/>
      <c r="F326" s="5"/>
      <c r="G326" s="5"/>
      <c r="H326" s="5"/>
      <c r="I326" s="5"/>
      <c r="J326" s="5"/>
      <c r="K326" s="5"/>
      <c r="L326" s="416"/>
      <c r="M326" s="416"/>
      <c r="N326" s="416"/>
      <c r="O326" s="416"/>
      <c r="P326" s="416"/>
      <c r="Q326" s="416"/>
      <c r="R326" s="416"/>
    </row>
    <row r="327" spans="5:18" x14ac:dyDescent="0.2">
      <c r="E327" s="5"/>
      <c r="F327" s="5"/>
      <c r="G327" s="5"/>
      <c r="H327" s="5"/>
      <c r="I327" s="5"/>
      <c r="J327" s="5"/>
      <c r="K327" s="5"/>
      <c r="L327" s="5"/>
      <c r="M327" s="5"/>
      <c r="N327" s="5"/>
      <c r="O327" s="5"/>
      <c r="P327" s="5"/>
      <c r="Q327" s="5"/>
      <c r="R327" s="5"/>
    </row>
    <row r="328" spans="5:18" ht="18" x14ac:dyDescent="0.25">
      <c r="E328" s="5"/>
      <c r="F328" s="5"/>
      <c r="G328" s="5"/>
      <c r="H328" s="5"/>
      <c r="I328" s="5"/>
      <c r="J328" s="5"/>
      <c r="K328" s="5"/>
      <c r="L328" s="421"/>
      <c r="M328" s="421"/>
      <c r="N328" s="421"/>
      <c r="O328" s="395"/>
      <c r="P328" s="395"/>
      <c r="Q328" s="395"/>
      <c r="R328" s="395"/>
    </row>
    <row r="329" spans="5:18" ht="20.25" x14ac:dyDescent="0.3">
      <c r="E329" s="5"/>
      <c r="F329" s="5"/>
      <c r="G329" s="5"/>
      <c r="H329" s="5"/>
      <c r="I329" s="5"/>
      <c r="J329" s="5"/>
      <c r="K329" s="5"/>
      <c r="L329" s="417"/>
      <c r="M329" s="394"/>
      <c r="N329" s="395"/>
      <c r="O329" s="395"/>
      <c r="P329" s="395"/>
      <c r="Q329" s="395"/>
      <c r="R329" s="395"/>
    </row>
    <row r="330" spans="5:18" ht="20.25" x14ac:dyDescent="0.3">
      <c r="E330" s="5"/>
      <c r="F330" s="5"/>
      <c r="G330" s="5"/>
      <c r="H330" s="5"/>
      <c r="I330" s="5"/>
      <c r="J330" s="5"/>
      <c r="K330" s="5"/>
      <c r="L330" s="418"/>
      <c r="M330" s="419"/>
      <c r="N330" s="83"/>
      <c r="O330" s="420"/>
      <c r="P330" s="420"/>
      <c r="Q330" s="398"/>
      <c r="R330" s="83"/>
    </row>
    <row r="331" spans="5:18" ht="20.25" x14ac:dyDescent="0.3">
      <c r="E331" s="5"/>
      <c r="F331" s="5"/>
      <c r="G331" s="5"/>
      <c r="H331" s="5"/>
      <c r="I331" s="5"/>
      <c r="J331" s="5"/>
      <c r="K331" s="5"/>
      <c r="L331" s="369"/>
      <c r="M331" s="394"/>
      <c r="N331" s="398"/>
      <c r="O331" s="396"/>
      <c r="P331" s="396"/>
      <c r="Q331" s="398"/>
      <c r="R331" s="395"/>
    </row>
    <row r="332" spans="5:18" ht="20.25" x14ac:dyDescent="0.3">
      <c r="E332" s="5"/>
      <c r="F332" s="5"/>
      <c r="G332" s="5"/>
      <c r="H332" s="5"/>
      <c r="I332" s="5"/>
      <c r="J332" s="5"/>
      <c r="K332" s="5"/>
      <c r="L332" s="418"/>
      <c r="M332" s="419"/>
      <c r="N332" s="83"/>
      <c r="O332" s="420"/>
      <c r="P332" s="420"/>
      <c r="Q332" s="398"/>
      <c r="R332" s="83"/>
    </row>
    <row r="333" spans="5:18" ht="20.25" x14ac:dyDescent="0.3">
      <c r="E333" s="5"/>
      <c r="F333" s="5"/>
      <c r="G333" s="5"/>
      <c r="H333" s="5"/>
      <c r="I333" s="5"/>
      <c r="J333" s="5"/>
      <c r="K333" s="5"/>
      <c r="L333" s="422"/>
      <c r="M333" s="419"/>
      <c r="N333" s="83"/>
      <c r="O333" s="420"/>
      <c r="P333" s="420"/>
      <c r="Q333" s="398"/>
      <c r="R333" s="423"/>
    </row>
    <row r="334" spans="5:18" ht="20.25" x14ac:dyDescent="0.3">
      <c r="E334" s="5"/>
      <c r="F334" s="5"/>
      <c r="G334" s="5"/>
      <c r="H334" s="5"/>
      <c r="I334" s="5"/>
      <c r="J334" s="5"/>
      <c r="K334" s="5"/>
      <c r="L334" s="418"/>
      <c r="M334" s="419"/>
      <c r="N334" s="83"/>
      <c r="O334" s="420"/>
      <c r="P334" s="420"/>
      <c r="Q334" s="398"/>
      <c r="R334" s="83"/>
    </row>
    <row r="335" spans="5:18" ht="20.25" x14ac:dyDescent="0.3">
      <c r="E335" s="5"/>
      <c r="F335" s="5"/>
      <c r="G335" s="5"/>
      <c r="H335" s="5"/>
      <c r="I335" s="5"/>
      <c r="J335" s="5"/>
      <c r="K335" s="5"/>
      <c r="L335" s="418"/>
      <c r="M335" s="419"/>
      <c r="N335" s="83"/>
      <c r="O335" s="420"/>
      <c r="P335" s="420"/>
      <c r="Q335" s="398"/>
      <c r="R335" s="83"/>
    </row>
    <row r="336" spans="5:18" ht="20.25" x14ac:dyDescent="0.3">
      <c r="E336" s="5"/>
      <c r="F336" s="5"/>
      <c r="G336" s="5"/>
      <c r="H336" s="5"/>
      <c r="I336" s="5"/>
      <c r="J336" s="5"/>
      <c r="K336" s="5"/>
      <c r="L336" s="418"/>
      <c r="M336" s="419"/>
      <c r="N336" s="83"/>
      <c r="O336" s="420"/>
      <c r="P336" s="420"/>
      <c r="Q336" s="398"/>
      <c r="R336" s="83"/>
    </row>
    <row r="337" spans="5:18" ht="20.25" x14ac:dyDescent="0.3">
      <c r="E337" s="5"/>
      <c r="F337" s="5"/>
      <c r="G337" s="5"/>
      <c r="H337" s="5"/>
      <c r="I337" s="5"/>
      <c r="J337" s="5"/>
      <c r="K337" s="5"/>
      <c r="L337" s="418"/>
      <c r="M337" s="419"/>
      <c r="N337" s="83"/>
      <c r="O337" s="420"/>
      <c r="P337" s="420"/>
      <c r="Q337" s="398"/>
      <c r="R337" s="83"/>
    </row>
    <row r="338" spans="5:18" ht="20.25" x14ac:dyDescent="0.3">
      <c r="E338" s="5"/>
      <c r="F338" s="5"/>
      <c r="G338" s="5"/>
      <c r="H338" s="5"/>
      <c r="I338" s="5"/>
      <c r="J338" s="5"/>
      <c r="K338" s="5"/>
      <c r="L338" s="418"/>
      <c r="M338" s="419"/>
      <c r="N338" s="83"/>
      <c r="O338" s="420"/>
      <c r="P338" s="420"/>
      <c r="Q338" s="398"/>
      <c r="R338" s="83"/>
    </row>
    <row r="339" spans="5:18" ht="20.25" x14ac:dyDescent="0.3">
      <c r="E339" s="5"/>
      <c r="F339" s="5"/>
      <c r="G339" s="5"/>
      <c r="H339" s="5"/>
      <c r="I339" s="5"/>
      <c r="J339" s="5"/>
      <c r="K339" s="5"/>
      <c r="L339" s="418"/>
      <c r="M339" s="419"/>
      <c r="N339" s="83"/>
      <c r="O339" s="420"/>
      <c r="P339" s="420"/>
      <c r="Q339" s="398"/>
      <c r="R339" s="83"/>
    </row>
    <row r="340" spans="5:18" ht="20.25" x14ac:dyDescent="0.3">
      <c r="E340" s="5"/>
      <c r="F340" s="5"/>
      <c r="G340" s="5"/>
      <c r="H340" s="5"/>
      <c r="I340" s="5"/>
      <c r="J340" s="5"/>
      <c r="K340" s="5"/>
      <c r="L340" s="418"/>
      <c r="M340" s="419"/>
      <c r="N340" s="83"/>
      <c r="O340" s="420"/>
      <c r="P340" s="420"/>
      <c r="Q340" s="398"/>
      <c r="R340" s="83"/>
    </row>
    <row r="341" spans="5:18" ht="20.25" x14ac:dyDescent="0.3">
      <c r="E341" s="5"/>
      <c r="F341" s="5"/>
      <c r="G341" s="5"/>
      <c r="H341" s="5"/>
      <c r="I341" s="5"/>
      <c r="J341" s="5"/>
      <c r="K341" s="5"/>
      <c r="L341" s="417"/>
      <c r="M341" s="394"/>
      <c r="N341" s="395"/>
      <c r="O341" s="395"/>
      <c r="P341" s="395"/>
      <c r="Q341" s="395"/>
      <c r="R341" s="395"/>
    </row>
    <row r="342" spans="5:18" ht="20.25" x14ac:dyDescent="0.3">
      <c r="E342" s="5"/>
      <c r="F342" s="5"/>
      <c r="G342" s="5"/>
      <c r="H342" s="5"/>
      <c r="I342" s="5"/>
      <c r="J342" s="5"/>
      <c r="K342" s="5"/>
      <c r="L342" s="79"/>
      <c r="M342" s="79"/>
      <c r="N342" s="79"/>
      <c r="O342" s="79"/>
      <c r="P342" s="79"/>
      <c r="Q342" s="79"/>
      <c r="R342" s="79"/>
    </row>
    <row r="343" spans="5:18" ht="18" x14ac:dyDescent="0.25">
      <c r="E343" s="5"/>
      <c r="F343" s="5"/>
      <c r="G343" s="5"/>
      <c r="H343" s="5"/>
      <c r="I343" s="5"/>
      <c r="J343" s="5"/>
      <c r="K343" s="5"/>
      <c r="L343" s="83"/>
      <c r="M343" s="424"/>
      <c r="N343" s="83"/>
      <c r="O343" s="425"/>
      <c r="P343" s="425"/>
      <c r="Q343" s="83"/>
      <c r="R343" s="83"/>
    </row>
    <row r="344" spans="5:18" ht="20.25" x14ac:dyDescent="0.3">
      <c r="E344" s="5"/>
      <c r="F344" s="5"/>
      <c r="G344" s="5"/>
      <c r="H344" s="5"/>
      <c r="I344" s="5"/>
      <c r="J344" s="5"/>
      <c r="K344" s="5"/>
      <c r="L344" s="426"/>
      <c r="M344" s="426"/>
      <c r="N344" s="427"/>
      <c r="O344" s="426"/>
      <c r="P344" s="426"/>
      <c r="Q344" s="427"/>
      <c r="R344" s="428"/>
    </row>
    <row r="345" spans="5:18" x14ac:dyDescent="0.2">
      <c r="E345" s="5"/>
      <c r="F345" s="5"/>
      <c r="G345" s="5"/>
      <c r="H345" s="5"/>
      <c r="I345" s="5"/>
      <c r="J345" s="5"/>
      <c r="K345" s="5"/>
      <c r="L345" s="5"/>
      <c r="M345" s="5"/>
      <c r="N345" s="5"/>
      <c r="O345" s="5"/>
      <c r="P345" s="5"/>
      <c r="Q345" s="5"/>
      <c r="R345" s="5"/>
    </row>
    <row r="346" spans="5:18" x14ac:dyDescent="0.2">
      <c r="E346" s="5"/>
      <c r="F346" s="5"/>
      <c r="G346" s="5"/>
      <c r="H346" s="5"/>
      <c r="I346" s="5"/>
      <c r="J346" s="5"/>
      <c r="K346" s="5"/>
      <c r="L346" s="5"/>
      <c r="M346" s="5"/>
      <c r="N346" s="5"/>
      <c r="O346" s="5"/>
      <c r="P346" s="5"/>
      <c r="Q346" s="5"/>
      <c r="R346" s="5"/>
    </row>
    <row r="347" spans="5:18" x14ac:dyDescent="0.2">
      <c r="E347" s="5"/>
      <c r="F347" s="5"/>
      <c r="G347" s="5"/>
      <c r="H347" s="5"/>
      <c r="I347" s="5"/>
      <c r="J347" s="5"/>
      <c r="K347" s="5"/>
    </row>
    <row r="348" spans="5:18" x14ac:dyDescent="0.2">
      <c r="E348" s="5"/>
      <c r="F348" s="5"/>
      <c r="G348" s="5"/>
      <c r="H348" s="5"/>
      <c r="I348" s="5"/>
      <c r="J348" s="5"/>
      <c r="K348" s="5"/>
    </row>
    <row r="349" spans="5:18" x14ac:dyDescent="0.2">
      <c r="E349" s="5"/>
      <c r="F349" s="5"/>
      <c r="G349" s="5"/>
      <c r="H349" s="5"/>
      <c r="I349" s="5"/>
      <c r="J349" s="5"/>
      <c r="K349" s="5"/>
    </row>
    <row r="350" spans="5:18" x14ac:dyDescent="0.2">
      <c r="E350" s="5"/>
      <c r="F350" s="5"/>
      <c r="G350" s="5"/>
      <c r="H350" s="5"/>
      <c r="I350" s="5"/>
      <c r="J350" s="5"/>
      <c r="K350" s="5"/>
    </row>
    <row r="351" spans="5:18" x14ac:dyDescent="0.2">
      <c r="E351" s="5"/>
      <c r="F351" s="5"/>
      <c r="G351" s="5"/>
      <c r="H351" s="5"/>
      <c r="I351" s="5"/>
      <c r="J351" s="5"/>
      <c r="K351" s="5"/>
    </row>
    <row r="352" spans="5:18" x14ac:dyDescent="0.2">
      <c r="E352" s="5"/>
      <c r="F352" s="5"/>
      <c r="G352" s="5"/>
      <c r="H352" s="5"/>
      <c r="I352" s="5"/>
      <c r="J352" s="5"/>
      <c r="K352" s="5"/>
    </row>
    <row r="353" spans="5:11" x14ac:dyDescent="0.2">
      <c r="E353" s="5"/>
      <c r="F353" s="5"/>
      <c r="G353" s="5"/>
      <c r="H353" s="5"/>
      <c r="I353" s="5"/>
      <c r="J353" s="5"/>
      <c r="K353" s="5"/>
    </row>
    <row r="354" spans="5:11" x14ac:dyDescent="0.2">
      <c r="E354" s="5"/>
      <c r="F354" s="5"/>
      <c r="G354" s="5"/>
      <c r="H354" s="5"/>
      <c r="I354" s="5"/>
      <c r="J354" s="5"/>
      <c r="K354" s="5"/>
    </row>
    <row r="355" spans="5:11" x14ac:dyDescent="0.2">
      <c r="E355" s="5"/>
      <c r="F355" s="5"/>
      <c r="G355" s="5"/>
      <c r="H355" s="5"/>
      <c r="I355" s="5"/>
      <c r="J355" s="5"/>
      <c r="K355" s="5"/>
    </row>
    <row r="356" spans="5:11" x14ac:dyDescent="0.2">
      <c r="E356" s="5"/>
      <c r="F356" s="5"/>
      <c r="G356" s="5"/>
      <c r="H356" s="5"/>
      <c r="I356" s="5"/>
      <c r="J356" s="5"/>
      <c r="K356" s="5"/>
    </row>
    <row r="357" spans="5:11" x14ac:dyDescent="0.2">
      <c r="E357" s="5"/>
      <c r="F357" s="5"/>
      <c r="G357" s="5"/>
      <c r="H357" s="5"/>
      <c r="I357" s="5"/>
      <c r="J357" s="5"/>
      <c r="K357" s="5"/>
    </row>
    <row r="358" spans="5:11" x14ac:dyDescent="0.2">
      <c r="E358" s="5"/>
      <c r="F358" s="5"/>
      <c r="G358" s="5"/>
      <c r="H358" s="5"/>
      <c r="I358" s="5"/>
      <c r="J358" s="5"/>
      <c r="K358" s="5"/>
    </row>
    <row r="359" spans="5:11" x14ac:dyDescent="0.2">
      <c r="E359" s="5"/>
      <c r="F359" s="5"/>
      <c r="G359" s="5"/>
      <c r="H359" s="5"/>
      <c r="I359" s="5"/>
      <c r="J359" s="5"/>
      <c r="K359" s="5"/>
    </row>
    <row r="360" spans="5:11" x14ac:dyDescent="0.2">
      <c r="E360" s="5"/>
      <c r="F360" s="5"/>
      <c r="G360" s="5"/>
      <c r="H360" s="5"/>
      <c r="I360" s="5"/>
      <c r="J360" s="5"/>
      <c r="K360" s="5"/>
    </row>
    <row r="361" spans="5:11" x14ac:dyDescent="0.2">
      <c r="E361" s="5"/>
      <c r="F361" s="5"/>
      <c r="G361" s="5"/>
      <c r="H361" s="5"/>
      <c r="I361" s="5"/>
      <c r="J361" s="5"/>
      <c r="K361" s="5"/>
    </row>
    <row r="362" spans="5:11" x14ac:dyDescent="0.2">
      <c r="E362" s="5"/>
      <c r="F362" s="5"/>
      <c r="G362" s="5"/>
      <c r="H362" s="5"/>
      <c r="I362" s="5"/>
      <c r="J362" s="5"/>
      <c r="K362" s="5"/>
    </row>
    <row r="363" spans="5:11" x14ac:dyDescent="0.2">
      <c r="E363" s="5"/>
      <c r="F363" s="5"/>
      <c r="G363" s="5"/>
      <c r="H363" s="5"/>
      <c r="I363" s="5"/>
      <c r="J363" s="5"/>
      <c r="K363" s="5"/>
    </row>
    <row r="364" spans="5:11" x14ac:dyDescent="0.2">
      <c r="E364" s="5"/>
      <c r="F364" s="5"/>
      <c r="G364" s="5"/>
      <c r="H364" s="5"/>
      <c r="I364" s="5"/>
      <c r="J364" s="5"/>
      <c r="K364" s="5"/>
    </row>
    <row r="365" spans="5:11" x14ac:dyDescent="0.2">
      <c r="E365" s="5"/>
      <c r="F365" s="5"/>
      <c r="G365" s="5"/>
      <c r="H365" s="5"/>
      <c r="I365" s="5"/>
      <c r="J365" s="5"/>
      <c r="K365" s="5"/>
    </row>
    <row r="366" spans="5:11" x14ac:dyDescent="0.2">
      <c r="E366" s="5"/>
      <c r="F366" s="5"/>
      <c r="G366" s="5"/>
      <c r="H366" s="5"/>
      <c r="I366" s="5"/>
      <c r="J366" s="5"/>
      <c r="K366" s="5"/>
    </row>
    <row r="367" spans="5:11" x14ac:dyDescent="0.2">
      <c r="E367" s="5"/>
      <c r="F367" s="5"/>
      <c r="G367" s="5"/>
      <c r="H367" s="5"/>
      <c r="I367" s="5"/>
      <c r="J367" s="5"/>
      <c r="K367" s="5"/>
    </row>
    <row r="368" spans="5:11" x14ac:dyDescent="0.2">
      <c r="E368" s="5"/>
      <c r="F368" s="5"/>
      <c r="G368" s="5"/>
      <c r="H368" s="5"/>
      <c r="I368" s="5"/>
      <c r="J368" s="5"/>
      <c r="K368" s="5"/>
    </row>
    <row r="369" spans="5:11" x14ac:dyDescent="0.2">
      <c r="E369" s="5"/>
      <c r="F369" s="5"/>
      <c r="G369" s="5"/>
      <c r="H369" s="5"/>
      <c r="I369" s="5"/>
      <c r="J369" s="5"/>
      <c r="K369" s="5"/>
    </row>
    <row r="370" spans="5:11" x14ac:dyDescent="0.2">
      <c r="E370" s="5"/>
      <c r="F370" s="5"/>
      <c r="G370" s="5"/>
      <c r="H370" s="5"/>
      <c r="I370" s="5"/>
      <c r="J370" s="5"/>
      <c r="K370" s="5"/>
    </row>
    <row r="371" spans="5:11" x14ac:dyDescent="0.2">
      <c r="E371" s="5"/>
      <c r="F371" s="5"/>
      <c r="G371" s="5"/>
      <c r="H371" s="5"/>
      <c r="I371" s="5"/>
      <c r="J371" s="5"/>
      <c r="K371" s="5"/>
    </row>
    <row r="372" spans="5:11" x14ac:dyDescent="0.2">
      <c r="E372" s="5"/>
      <c r="F372" s="5"/>
      <c r="G372" s="5"/>
      <c r="H372" s="5"/>
      <c r="I372" s="5"/>
      <c r="J372" s="5"/>
      <c r="K372" s="5"/>
    </row>
    <row r="373" spans="5:11" x14ac:dyDescent="0.2">
      <c r="E373" s="5"/>
      <c r="F373" s="5"/>
      <c r="G373" s="5"/>
      <c r="H373" s="5"/>
      <c r="I373" s="5"/>
      <c r="J373" s="5"/>
      <c r="K373" s="5"/>
    </row>
    <row r="374" spans="5:11" x14ac:dyDescent="0.2">
      <c r="E374" s="5"/>
      <c r="F374" s="5"/>
      <c r="G374" s="5"/>
      <c r="H374" s="5"/>
      <c r="I374" s="5"/>
      <c r="J374" s="5"/>
      <c r="K374" s="5"/>
    </row>
    <row r="375" spans="5:11" x14ac:dyDescent="0.2">
      <c r="E375" s="5"/>
      <c r="F375" s="5"/>
      <c r="G375" s="5"/>
      <c r="H375" s="5"/>
      <c r="I375" s="5"/>
      <c r="J375" s="5"/>
      <c r="K375" s="5"/>
    </row>
    <row r="376" spans="5:11" x14ac:dyDescent="0.2">
      <c r="E376" s="5"/>
      <c r="F376" s="5"/>
      <c r="G376" s="5"/>
      <c r="H376" s="5"/>
      <c r="I376" s="5"/>
      <c r="J376" s="5"/>
      <c r="K376" s="5"/>
    </row>
    <row r="377" spans="5:11" x14ac:dyDescent="0.2">
      <c r="E377" s="5"/>
      <c r="F377" s="5"/>
      <c r="G377" s="5"/>
      <c r="H377" s="5"/>
      <c r="I377" s="5"/>
      <c r="J377" s="5"/>
      <c r="K377" s="5"/>
    </row>
    <row r="378" spans="5:11" x14ac:dyDescent="0.2">
      <c r="E378" s="5"/>
      <c r="F378" s="5"/>
      <c r="G378" s="5"/>
      <c r="H378" s="5"/>
      <c r="I378" s="5"/>
      <c r="J378" s="5"/>
      <c r="K378" s="5"/>
    </row>
    <row r="379" spans="5:11" x14ac:dyDescent="0.2">
      <c r="E379" s="5"/>
      <c r="F379" s="5"/>
      <c r="G379" s="5"/>
      <c r="H379" s="5"/>
      <c r="I379" s="5"/>
      <c r="J379" s="5"/>
      <c r="K379" s="5"/>
    </row>
    <row r="380" spans="5:11" x14ac:dyDescent="0.2">
      <c r="E380" s="5"/>
      <c r="F380" s="5"/>
      <c r="G380" s="5"/>
      <c r="H380" s="5"/>
      <c r="I380" s="5"/>
      <c r="J380" s="5"/>
      <c r="K380" s="5"/>
    </row>
    <row r="381" spans="5:11" x14ac:dyDescent="0.2">
      <c r="E381" s="5"/>
      <c r="F381" s="5"/>
      <c r="G381" s="5"/>
      <c r="H381" s="5"/>
      <c r="I381" s="5"/>
      <c r="J381" s="5"/>
      <c r="K381" s="5"/>
    </row>
    <row r="382" spans="5:11" x14ac:dyDescent="0.2">
      <c r="E382" s="5"/>
      <c r="F382" s="5"/>
      <c r="G382" s="5"/>
      <c r="H382" s="5"/>
      <c r="I382" s="5"/>
      <c r="J382" s="5"/>
      <c r="K382" s="5"/>
    </row>
    <row r="383" spans="5:11" x14ac:dyDescent="0.2">
      <c r="E383" s="5"/>
      <c r="F383" s="5"/>
      <c r="G383" s="5"/>
      <c r="H383" s="5"/>
      <c r="I383" s="5"/>
      <c r="J383" s="5"/>
      <c r="K383" s="5"/>
    </row>
    <row r="384" spans="5:11" x14ac:dyDescent="0.2">
      <c r="E384" s="5"/>
      <c r="F384" s="5"/>
      <c r="G384" s="5"/>
      <c r="H384" s="5"/>
      <c r="I384" s="5"/>
      <c r="J384" s="5"/>
      <c r="K384" s="5"/>
    </row>
    <row r="385" spans="5:11" x14ac:dyDescent="0.2">
      <c r="E385" s="5"/>
      <c r="F385" s="5"/>
      <c r="G385" s="5"/>
      <c r="H385" s="5"/>
      <c r="I385" s="5"/>
      <c r="J385" s="5"/>
      <c r="K385" s="5"/>
    </row>
    <row r="386" spans="5:11" x14ac:dyDescent="0.2">
      <c r="E386" s="5"/>
      <c r="F386" s="5"/>
      <c r="G386" s="5"/>
      <c r="H386" s="5"/>
      <c r="I386" s="5"/>
      <c r="J386" s="5"/>
      <c r="K386" s="5"/>
    </row>
    <row r="387" spans="5:11" x14ac:dyDescent="0.2">
      <c r="E387" s="5"/>
      <c r="F387" s="5"/>
      <c r="G387" s="5"/>
      <c r="H387" s="5"/>
      <c r="I387" s="5"/>
      <c r="J387" s="5"/>
      <c r="K387" s="5"/>
    </row>
    <row r="388" spans="5:11" x14ac:dyDescent="0.2">
      <c r="E388" s="5"/>
      <c r="F388" s="5"/>
      <c r="G388" s="5"/>
      <c r="H388" s="5"/>
      <c r="I388" s="5"/>
      <c r="J388" s="5"/>
      <c r="K388" s="5"/>
    </row>
    <row r="389" spans="5:11" x14ac:dyDescent="0.2">
      <c r="E389" s="5"/>
      <c r="F389" s="5"/>
      <c r="G389" s="5"/>
      <c r="H389" s="5"/>
      <c r="I389" s="5"/>
      <c r="J389" s="5"/>
      <c r="K389" s="5"/>
    </row>
    <row r="390" spans="5:11" x14ac:dyDescent="0.2">
      <c r="E390" s="5"/>
      <c r="F390" s="5"/>
      <c r="G390" s="5"/>
      <c r="H390" s="5"/>
      <c r="I390" s="5"/>
      <c r="J390" s="5"/>
      <c r="K390" s="5"/>
    </row>
    <row r="391" spans="5:11" x14ac:dyDescent="0.2">
      <c r="E391" s="5"/>
      <c r="F391" s="5"/>
      <c r="G391" s="5"/>
      <c r="H391" s="5"/>
      <c r="I391" s="5"/>
      <c r="J391" s="5"/>
      <c r="K391" s="5"/>
    </row>
    <row r="392" spans="5:11" x14ac:dyDescent="0.2">
      <c r="E392" s="5"/>
      <c r="F392" s="5"/>
      <c r="G392" s="5"/>
      <c r="H392" s="5"/>
      <c r="I392" s="5"/>
      <c r="J392" s="5"/>
      <c r="K392" s="5"/>
    </row>
    <row r="393" spans="5:11" x14ac:dyDescent="0.2">
      <c r="E393" s="5"/>
      <c r="F393" s="5"/>
      <c r="G393" s="5"/>
      <c r="H393" s="5"/>
      <c r="I393" s="5"/>
      <c r="J393" s="5"/>
      <c r="K393" s="5"/>
    </row>
    <row r="394" spans="5:11" x14ac:dyDescent="0.2">
      <c r="E394" s="5"/>
      <c r="F394" s="5"/>
      <c r="G394" s="5"/>
      <c r="H394" s="5"/>
      <c r="I394" s="5"/>
      <c r="J394" s="5"/>
      <c r="K394" s="5"/>
    </row>
    <row r="395" spans="5:11" x14ac:dyDescent="0.2">
      <c r="E395" s="5"/>
      <c r="F395" s="5"/>
      <c r="G395" s="5"/>
      <c r="H395" s="5"/>
      <c r="I395" s="5"/>
      <c r="J395" s="5"/>
      <c r="K395" s="5"/>
    </row>
    <row r="396" spans="5:11" x14ac:dyDescent="0.2">
      <c r="E396" s="5"/>
      <c r="F396" s="5"/>
      <c r="G396" s="5"/>
      <c r="H396" s="5"/>
      <c r="I396" s="5"/>
      <c r="J396" s="5"/>
      <c r="K396" s="5"/>
    </row>
    <row r="397" spans="5:11" x14ac:dyDescent="0.2">
      <c r="E397" s="5"/>
      <c r="F397" s="5"/>
      <c r="G397" s="5"/>
      <c r="H397" s="5"/>
      <c r="I397" s="5"/>
      <c r="J397" s="5"/>
      <c r="K397" s="5"/>
    </row>
    <row r="398" spans="5:11" x14ac:dyDescent="0.2">
      <c r="E398" s="5"/>
      <c r="F398" s="5"/>
      <c r="G398" s="5"/>
      <c r="H398" s="5"/>
      <c r="I398" s="5"/>
      <c r="J398" s="5"/>
      <c r="K398" s="5"/>
    </row>
    <row r="399" spans="5:11" x14ac:dyDescent="0.2">
      <c r="E399" s="5"/>
      <c r="F399" s="5"/>
      <c r="G399" s="5"/>
      <c r="H399" s="5"/>
      <c r="I399" s="5"/>
      <c r="J399" s="5"/>
      <c r="K399" s="5"/>
    </row>
    <row r="400" spans="5:11" x14ac:dyDescent="0.2">
      <c r="E400" s="5"/>
      <c r="F400" s="5"/>
      <c r="G400" s="5"/>
      <c r="H400" s="5"/>
      <c r="I400" s="5"/>
      <c r="J400" s="5"/>
      <c r="K400" s="5"/>
    </row>
    <row r="401" spans="5:11" x14ac:dyDescent="0.2">
      <c r="E401" s="5"/>
      <c r="F401" s="5"/>
      <c r="G401" s="5"/>
      <c r="H401" s="5"/>
      <c r="I401" s="5"/>
      <c r="J401" s="5"/>
      <c r="K401" s="5"/>
    </row>
    <row r="402" spans="5:11" x14ac:dyDescent="0.2">
      <c r="E402" s="5"/>
      <c r="F402" s="5"/>
      <c r="G402" s="5"/>
      <c r="H402" s="5"/>
      <c r="I402" s="5"/>
      <c r="J402" s="5"/>
      <c r="K402" s="5"/>
    </row>
    <row r="403" spans="5:11" x14ac:dyDescent="0.2">
      <c r="E403" s="5"/>
      <c r="F403" s="5"/>
      <c r="G403" s="5"/>
      <c r="H403" s="5"/>
      <c r="I403" s="5"/>
      <c r="J403" s="5"/>
      <c r="K403" s="5"/>
    </row>
    <row r="404" spans="5:11" x14ac:dyDescent="0.2">
      <c r="E404" s="5"/>
      <c r="F404" s="5"/>
      <c r="G404" s="5"/>
      <c r="H404" s="5"/>
      <c r="I404" s="5"/>
      <c r="J404" s="5"/>
      <c r="K404" s="5"/>
    </row>
    <row r="405" spans="5:11" x14ac:dyDescent="0.2">
      <c r="E405" s="5"/>
      <c r="F405" s="5"/>
      <c r="G405" s="5"/>
      <c r="H405" s="5"/>
      <c r="I405" s="5"/>
      <c r="J405" s="5"/>
      <c r="K405" s="5"/>
    </row>
    <row r="406" spans="5:11" x14ac:dyDescent="0.2">
      <c r="E406" s="5"/>
      <c r="F406" s="5"/>
      <c r="G406" s="5"/>
      <c r="H406" s="5"/>
      <c r="I406" s="5"/>
      <c r="J406" s="5"/>
      <c r="K406" s="5"/>
    </row>
    <row r="407" spans="5:11" x14ac:dyDescent="0.2">
      <c r="E407" s="5"/>
      <c r="F407" s="5"/>
      <c r="G407" s="5"/>
      <c r="H407" s="5"/>
      <c r="I407" s="5"/>
      <c r="J407" s="5"/>
      <c r="K407" s="5"/>
    </row>
    <row r="408" spans="5:11" x14ac:dyDescent="0.2">
      <c r="E408" s="5"/>
      <c r="F408" s="5"/>
      <c r="G408" s="5"/>
      <c r="H408" s="5"/>
      <c r="I408" s="5"/>
      <c r="J408" s="5"/>
      <c r="K408" s="5"/>
    </row>
    <row r="409" spans="5:11" x14ac:dyDescent="0.2">
      <c r="E409" s="5"/>
      <c r="F409" s="5"/>
      <c r="G409" s="5"/>
      <c r="H409" s="5"/>
      <c r="I409" s="5"/>
      <c r="J409" s="5"/>
      <c r="K409" s="5"/>
    </row>
    <row r="410" spans="5:11" x14ac:dyDescent="0.2">
      <c r="E410" s="5"/>
      <c r="F410" s="5"/>
      <c r="G410" s="5"/>
      <c r="H410" s="5"/>
      <c r="I410" s="5"/>
      <c r="J410" s="5"/>
      <c r="K410" s="5"/>
    </row>
    <row r="411" spans="5:11" x14ac:dyDescent="0.2">
      <c r="E411" s="5"/>
      <c r="F411" s="5"/>
      <c r="G411" s="5"/>
      <c r="H411" s="5"/>
      <c r="I411" s="5"/>
      <c r="J411" s="5"/>
      <c r="K411" s="5"/>
    </row>
    <row r="412" spans="5:11" x14ac:dyDescent="0.2">
      <c r="E412" s="5"/>
      <c r="F412" s="5"/>
      <c r="G412" s="5"/>
      <c r="H412" s="5"/>
      <c r="I412" s="5"/>
      <c r="J412" s="5"/>
      <c r="K412" s="5"/>
    </row>
    <row r="413" spans="5:11" x14ac:dyDescent="0.2">
      <c r="E413" s="5"/>
      <c r="F413" s="5"/>
      <c r="G413" s="5"/>
      <c r="H413" s="5"/>
      <c r="I413" s="5"/>
      <c r="J413" s="5"/>
      <c r="K413" s="5"/>
    </row>
    <row r="414" spans="5:11" x14ac:dyDescent="0.2">
      <c r="E414" s="5"/>
      <c r="F414" s="5"/>
      <c r="G414" s="5"/>
      <c r="H414" s="5"/>
      <c r="I414" s="5"/>
      <c r="J414" s="5"/>
      <c r="K414" s="5"/>
    </row>
    <row r="415" spans="5:11" x14ac:dyDescent="0.2">
      <c r="E415" s="5"/>
      <c r="F415" s="5"/>
      <c r="G415" s="5"/>
      <c r="H415" s="5"/>
      <c r="I415" s="5"/>
      <c r="J415" s="5"/>
      <c r="K415" s="5"/>
    </row>
    <row r="416" spans="5:11" x14ac:dyDescent="0.2">
      <c r="E416" s="5"/>
      <c r="F416" s="5"/>
      <c r="G416" s="5"/>
      <c r="H416" s="5"/>
      <c r="I416" s="5"/>
      <c r="J416" s="5"/>
      <c r="K416" s="5"/>
    </row>
    <row r="417" spans="5:11" x14ac:dyDescent="0.2">
      <c r="E417" s="5"/>
      <c r="F417" s="5"/>
      <c r="G417" s="5"/>
      <c r="H417" s="5"/>
      <c r="I417" s="5"/>
      <c r="J417" s="5"/>
      <c r="K417" s="5"/>
    </row>
    <row r="418" spans="5:11" x14ac:dyDescent="0.2">
      <c r="E418" s="5"/>
      <c r="F418" s="5"/>
      <c r="G418" s="5"/>
      <c r="H418" s="5"/>
      <c r="I418" s="5"/>
      <c r="J418" s="5"/>
      <c r="K418" s="5"/>
    </row>
    <row r="419" spans="5:11" x14ac:dyDescent="0.2">
      <c r="E419" s="5"/>
      <c r="F419" s="5"/>
      <c r="G419" s="5"/>
      <c r="H419" s="5"/>
      <c r="I419" s="5"/>
      <c r="J419" s="5"/>
      <c r="K419" s="5"/>
    </row>
    <row r="420" spans="5:11" x14ac:dyDescent="0.2">
      <c r="E420" s="5"/>
      <c r="F420" s="5"/>
      <c r="G420" s="5"/>
      <c r="H420" s="5"/>
      <c r="I420" s="5"/>
      <c r="J420" s="5"/>
      <c r="K420" s="5"/>
    </row>
    <row r="421" spans="5:11" x14ac:dyDescent="0.2">
      <c r="E421" s="5"/>
      <c r="F421" s="5"/>
      <c r="G421" s="5"/>
      <c r="H421" s="5"/>
      <c r="I421" s="5"/>
      <c r="J421" s="5"/>
      <c r="K421" s="5"/>
    </row>
    <row r="422" spans="5:11" x14ac:dyDescent="0.2">
      <c r="E422" s="5"/>
      <c r="F422" s="5"/>
      <c r="G422" s="5"/>
      <c r="H422" s="5"/>
      <c r="I422" s="5"/>
      <c r="J422" s="5"/>
      <c r="K422" s="5"/>
    </row>
    <row r="423" spans="5:11" x14ac:dyDescent="0.2">
      <c r="E423" s="5"/>
      <c r="F423" s="5"/>
      <c r="G423" s="5"/>
      <c r="H423" s="5"/>
      <c r="I423" s="5"/>
      <c r="J423" s="5"/>
      <c r="K423" s="5"/>
    </row>
    <row r="424" spans="5:11" x14ac:dyDescent="0.2">
      <c r="E424" s="5"/>
      <c r="F424" s="5"/>
      <c r="G424" s="5"/>
      <c r="H424" s="5"/>
      <c r="I424" s="5"/>
      <c r="J424" s="5"/>
      <c r="K424" s="5"/>
    </row>
    <row r="425" spans="5:11" x14ac:dyDescent="0.2">
      <c r="E425" s="5"/>
      <c r="F425" s="5"/>
      <c r="G425" s="5"/>
      <c r="H425" s="5"/>
      <c r="I425" s="5"/>
      <c r="J425" s="5"/>
      <c r="K425" s="5"/>
    </row>
    <row r="426" spans="5:11" x14ac:dyDescent="0.2">
      <c r="E426" s="5"/>
      <c r="F426" s="5"/>
      <c r="G426" s="5"/>
      <c r="H426" s="5"/>
      <c r="I426" s="5"/>
      <c r="J426" s="5"/>
      <c r="K426" s="5"/>
    </row>
    <row r="427" spans="5:11" x14ac:dyDescent="0.2">
      <c r="E427" s="5"/>
      <c r="F427" s="5"/>
      <c r="G427" s="5"/>
      <c r="H427" s="5"/>
      <c r="I427" s="5"/>
      <c r="J427" s="5"/>
      <c r="K427" s="5"/>
    </row>
    <row r="428" spans="5:11" x14ac:dyDescent="0.2">
      <c r="E428" s="5"/>
      <c r="F428" s="5"/>
      <c r="G428" s="5"/>
      <c r="H428" s="5"/>
      <c r="I428" s="5"/>
      <c r="J428" s="5"/>
      <c r="K428" s="5"/>
    </row>
    <row r="429" spans="5:11" x14ac:dyDescent="0.2">
      <c r="E429" s="5"/>
      <c r="F429" s="5"/>
      <c r="G429" s="5"/>
      <c r="H429" s="5"/>
      <c r="I429" s="5"/>
      <c r="J429" s="5"/>
      <c r="K429" s="5"/>
    </row>
    <row r="430" spans="5:11" x14ac:dyDescent="0.2">
      <c r="E430" s="5"/>
      <c r="F430" s="5"/>
      <c r="G430" s="5"/>
      <c r="H430" s="5"/>
      <c r="I430" s="5"/>
      <c r="J430" s="5"/>
      <c r="K430" s="5"/>
    </row>
    <row r="431" spans="5:11" x14ac:dyDescent="0.2">
      <c r="E431" s="5"/>
      <c r="F431" s="5"/>
      <c r="G431" s="5"/>
      <c r="H431" s="5"/>
      <c r="I431" s="5"/>
      <c r="J431" s="5"/>
      <c r="K431" s="5"/>
    </row>
    <row r="432" spans="5:11" x14ac:dyDescent="0.2">
      <c r="E432" s="5"/>
      <c r="F432" s="5"/>
      <c r="G432" s="5"/>
      <c r="H432" s="5"/>
      <c r="I432" s="5"/>
      <c r="J432" s="5"/>
      <c r="K432" s="5"/>
    </row>
    <row r="433" spans="5:11" x14ac:dyDescent="0.2">
      <c r="E433" s="5"/>
      <c r="F433" s="5"/>
      <c r="G433" s="5"/>
      <c r="H433" s="5"/>
      <c r="I433" s="5"/>
      <c r="J433" s="5"/>
      <c r="K433" s="5"/>
    </row>
    <row r="434" spans="5:11" x14ac:dyDescent="0.2">
      <c r="E434" s="5"/>
      <c r="F434" s="5"/>
      <c r="G434" s="5"/>
      <c r="H434" s="5"/>
      <c r="I434" s="5"/>
      <c r="J434" s="5"/>
      <c r="K434" s="5"/>
    </row>
    <row r="435" spans="5:11" x14ac:dyDescent="0.2">
      <c r="E435" s="5"/>
      <c r="F435" s="5"/>
      <c r="G435" s="5"/>
      <c r="H435" s="5"/>
      <c r="I435" s="5"/>
      <c r="J435" s="5"/>
      <c r="K435" s="5"/>
    </row>
    <row r="436" spans="5:11" x14ac:dyDescent="0.2">
      <c r="E436" s="5"/>
      <c r="F436" s="5"/>
      <c r="G436" s="5"/>
      <c r="H436" s="5"/>
      <c r="I436" s="5"/>
      <c r="J436" s="5"/>
      <c r="K436" s="5"/>
    </row>
    <row r="437" spans="5:11" x14ac:dyDescent="0.2">
      <c r="E437" s="5"/>
      <c r="F437" s="5"/>
      <c r="G437" s="5"/>
      <c r="H437" s="5"/>
      <c r="I437" s="5"/>
      <c r="J437" s="5"/>
      <c r="K437" s="5"/>
    </row>
    <row r="438" spans="5:11" x14ac:dyDescent="0.2">
      <c r="E438" s="5"/>
      <c r="F438" s="5"/>
      <c r="G438" s="5"/>
      <c r="H438" s="5"/>
      <c r="I438" s="5"/>
      <c r="J438" s="5"/>
      <c r="K438" s="5"/>
    </row>
    <row r="439" spans="5:11" x14ac:dyDescent="0.2">
      <c r="E439" s="5"/>
      <c r="F439" s="5"/>
      <c r="G439" s="5"/>
      <c r="H439" s="5"/>
      <c r="I439" s="5"/>
      <c r="J439" s="5"/>
      <c r="K439" s="5"/>
    </row>
    <row r="440" spans="5:11" x14ac:dyDescent="0.2">
      <c r="E440" s="5"/>
      <c r="F440" s="5"/>
      <c r="G440" s="5"/>
      <c r="H440" s="5"/>
      <c r="I440" s="5"/>
      <c r="J440" s="5"/>
      <c r="K440" s="5"/>
    </row>
    <row r="441" spans="5:11" x14ac:dyDescent="0.2">
      <c r="E441" s="5"/>
      <c r="F441" s="5"/>
      <c r="G441" s="5"/>
      <c r="H441" s="5"/>
      <c r="I441" s="5"/>
      <c r="J441" s="5"/>
      <c r="K441" s="5"/>
    </row>
    <row r="442" spans="5:11" x14ac:dyDescent="0.2">
      <c r="E442" s="5"/>
      <c r="F442" s="5"/>
      <c r="G442" s="5"/>
      <c r="H442" s="5"/>
      <c r="I442" s="5"/>
      <c r="J442" s="5"/>
      <c r="K442" s="5"/>
    </row>
    <row r="443" spans="5:11" x14ac:dyDescent="0.2">
      <c r="E443" s="5"/>
      <c r="F443" s="5"/>
      <c r="G443" s="5"/>
      <c r="H443" s="5"/>
      <c r="I443" s="5"/>
      <c r="J443" s="5"/>
      <c r="K443" s="5"/>
    </row>
  </sheetData>
  <mergeCells count="65">
    <mergeCell ref="B296:C296"/>
    <mergeCell ref="C8:K8"/>
    <mergeCell ref="B3:K3"/>
    <mergeCell ref="C4:K4"/>
    <mergeCell ref="B5:K5"/>
    <mergeCell ref="C6:K6"/>
    <mergeCell ref="C7:K7"/>
    <mergeCell ref="C24:K24"/>
    <mergeCell ref="C26:K26"/>
    <mergeCell ref="B29:K29"/>
    <mergeCell ref="C22:K22"/>
    <mergeCell ref="C9:K9"/>
    <mergeCell ref="C10:K10"/>
    <mergeCell ref="C12:K12"/>
    <mergeCell ref="C13:K13"/>
    <mergeCell ref="C14:K14"/>
    <mergeCell ref="C15:K15"/>
    <mergeCell ref="C16:K16"/>
    <mergeCell ref="C18:K18"/>
    <mergeCell ref="C19:K19"/>
    <mergeCell ref="C20:K20"/>
    <mergeCell ref="C21:K21"/>
    <mergeCell ref="B89:C89"/>
    <mergeCell ref="E55:I55"/>
    <mergeCell ref="B58:D58"/>
    <mergeCell ref="B59:D59"/>
    <mergeCell ref="B60:D60"/>
    <mergeCell ref="B61:D61"/>
    <mergeCell ref="B73:D73"/>
    <mergeCell ref="B74:D74"/>
    <mergeCell ref="B75:D75"/>
    <mergeCell ref="B76:D76"/>
    <mergeCell ref="B134:D134"/>
    <mergeCell ref="B90:D90"/>
    <mergeCell ref="B91:D91"/>
    <mergeCell ref="B92:D92"/>
    <mergeCell ref="B109:C109"/>
    <mergeCell ref="B110:D110"/>
    <mergeCell ref="B111:D111"/>
    <mergeCell ref="B123:C123"/>
    <mergeCell ref="B124:D124"/>
    <mergeCell ref="B131:C131"/>
    <mergeCell ref="B132:D132"/>
    <mergeCell ref="B133:D133"/>
    <mergeCell ref="B206:D206"/>
    <mergeCell ref="B164:C164"/>
    <mergeCell ref="B165:D165"/>
    <mergeCell ref="B166:D166"/>
    <mergeCell ref="B167:D167"/>
    <mergeCell ref="B174:C174"/>
    <mergeCell ref="B175:D175"/>
    <mergeCell ref="B176:D176"/>
    <mergeCell ref="B177:D177"/>
    <mergeCell ref="B203:C203"/>
    <mergeCell ref="B204:D204"/>
    <mergeCell ref="B205:D205"/>
    <mergeCell ref="B295:C295"/>
    <mergeCell ref="B273:D273"/>
    <mergeCell ref="B257:D257"/>
    <mergeCell ref="B258:D258"/>
    <mergeCell ref="B259:D259"/>
    <mergeCell ref="B260:D260"/>
    <mergeCell ref="B270:C270"/>
    <mergeCell ref="B271:D271"/>
    <mergeCell ref="B272:D272"/>
  </mergeCells>
  <conditionalFormatting sqref="C211">
    <cfRule type="duplicateValues" dxfId="15" priority="2"/>
  </conditionalFormatting>
  <pageMargins left="0.74791666666666701" right="0.74791666666666701" top="0.98402777777777795" bottom="0.98402777777777795" header="0.5" footer="0.5"/>
  <pageSetup scale="31" firstPageNumber="0" orientation="landscape" r:id="rId1"/>
  <headerFooter alignWithMargins="0">
    <oddHeader xml:space="preserve">&amp;C&amp;"Arial,Bold" PSP Workplans and Budgets 2014-17&amp;"Arial,Regular"
</oddHeader>
    <oddFooter>&amp;C&amp;12&amp;P&amp;R&amp;D&amp;T</oddFooter>
  </headerFooter>
  <rowBreaks count="18" manualBreakCount="18">
    <brk id="27" max="16383" man="1"/>
    <brk id="53" max="10" man="1"/>
    <brk id="66" max="10" man="1"/>
    <brk id="86" max="10" man="1"/>
    <brk id="96" max="10" man="1"/>
    <brk id="108" max="10" man="1"/>
    <brk id="121" max="10" man="1"/>
    <brk id="129" max="10" man="1"/>
    <brk id="142" max="10" man="1"/>
    <brk id="154" max="10" man="1"/>
    <brk id="171" max="10" man="1"/>
    <brk id="196" max="10" man="1"/>
    <brk id="208" max="10" man="1"/>
    <brk id="216" max="10" man="1"/>
    <brk id="227" max="10" man="1"/>
    <brk id="248" max="10" man="1"/>
    <brk id="263" max="10" man="1"/>
    <brk id="292" max="1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07"/>
  <sheetViews>
    <sheetView view="pageBreakPreview" topLeftCell="A230" zoomScale="55" zoomScaleNormal="60" zoomScaleSheetLayoutView="55" workbookViewId="0">
      <selection activeCell="D258" sqref="D258"/>
    </sheetView>
  </sheetViews>
  <sheetFormatPr defaultRowHeight="12.75" x14ac:dyDescent="0.2"/>
  <cols>
    <col min="1" max="1" width="10.140625" customWidth="1"/>
    <col min="2" max="2" width="38.85546875" customWidth="1"/>
    <col min="3" max="3" width="14.85546875" customWidth="1"/>
    <col min="4" max="4" width="77.5703125" customWidth="1"/>
    <col min="5" max="5" width="29.140625" hidden="1" customWidth="1"/>
    <col min="6" max="6" width="31.140625" hidden="1" customWidth="1"/>
    <col min="7" max="7" width="32.42578125" hidden="1" customWidth="1"/>
    <col min="8" max="8" width="47.42578125" hidden="1" customWidth="1"/>
    <col min="9" max="9" width="47.42578125" customWidth="1"/>
    <col min="10" max="10" width="20.42578125" customWidth="1"/>
    <col min="11" max="11" width="21.7109375" customWidth="1"/>
    <col min="12" max="12" width="22" customWidth="1"/>
    <col min="13" max="13" width="21.85546875" customWidth="1"/>
    <col min="14" max="14" width="25.5703125" customWidth="1"/>
    <col min="15" max="15" width="31.28515625" customWidth="1"/>
    <col min="16" max="17" width="26.5703125" hidden="1" customWidth="1"/>
    <col min="18" max="18" width="20.85546875" hidden="1" customWidth="1"/>
    <col min="19" max="20" width="22.5703125" hidden="1" customWidth="1"/>
    <col min="21" max="21" width="43.5703125" hidden="1" customWidth="1"/>
    <col min="22" max="22" width="23.85546875" customWidth="1"/>
    <col min="23" max="23" width="23.42578125" customWidth="1"/>
    <col min="24" max="25" width="23.7109375" customWidth="1"/>
    <col min="26" max="26" width="21" customWidth="1"/>
    <col min="27" max="27" width="23.28515625" customWidth="1"/>
    <col min="28" max="28" width="23.7109375" hidden="1" customWidth="1"/>
    <col min="29" max="29" width="18.7109375" customWidth="1"/>
    <col min="30" max="30" width="21.42578125" customWidth="1"/>
    <col min="31" max="31" width="23.28515625" customWidth="1"/>
    <col min="33" max="33" width="20.28515625" customWidth="1"/>
  </cols>
  <sheetData>
    <row r="1" spans="1:31" ht="13.5" thickBot="1" x14ac:dyDescent="0.25">
      <c r="A1" s="1" t="s">
        <v>0</v>
      </c>
      <c r="B1" s="2"/>
      <c r="C1" s="3"/>
      <c r="D1" s="3"/>
      <c r="E1" s="3"/>
      <c r="F1" s="3"/>
      <c r="G1" s="3"/>
      <c r="H1" s="3"/>
      <c r="I1" s="3"/>
      <c r="J1" s="3"/>
      <c r="K1" s="3"/>
      <c r="L1" s="3"/>
      <c r="M1" s="3"/>
      <c r="N1" s="3"/>
      <c r="O1" s="3"/>
      <c r="P1" s="3"/>
      <c r="Q1" s="3"/>
      <c r="R1" s="3"/>
      <c r="S1" s="3"/>
      <c r="T1" s="3"/>
      <c r="U1" s="3"/>
      <c r="V1" s="4"/>
      <c r="W1" s="5"/>
      <c r="X1" s="5"/>
      <c r="Y1" s="5"/>
    </row>
    <row r="2" spans="1:31" ht="184.5" customHeight="1" thickBot="1" x14ac:dyDescent="0.25">
      <c r="A2" s="1687"/>
      <c r="B2" s="1683"/>
      <c r="C2" s="1684"/>
      <c r="D2" s="1684"/>
      <c r="E2" s="1684"/>
      <c r="F2" s="1684"/>
      <c r="G2" s="1684"/>
      <c r="H2" s="1684"/>
      <c r="I2" s="1684"/>
      <c r="J2" s="1684"/>
      <c r="K2" s="1684"/>
      <c r="L2" s="1684"/>
      <c r="M2" s="1684"/>
      <c r="N2" s="1684"/>
      <c r="O2" s="1684"/>
      <c r="P2" s="1684"/>
      <c r="Q2" s="1684"/>
      <c r="R2" s="1684"/>
      <c r="S2" s="1684"/>
      <c r="T2" s="1684"/>
      <c r="U2" s="1684"/>
      <c r="V2" s="1685"/>
      <c r="W2" s="1685"/>
      <c r="X2" s="1685"/>
      <c r="Y2" s="1685"/>
      <c r="Z2" s="1684"/>
      <c r="AA2" s="1684"/>
      <c r="AB2" s="1684"/>
      <c r="AC2" s="1684"/>
      <c r="AD2" s="1684"/>
      <c r="AE2" s="1686"/>
    </row>
    <row r="3" spans="1:31" ht="48" customHeight="1" thickBot="1" x14ac:dyDescent="0.6">
      <c r="A3" s="234"/>
      <c r="B3" s="2702" t="s">
        <v>1110</v>
      </c>
      <c r="C3" s="2680"/>
      <c r="D3" s="2680"/>
      <c r="E3" s="2680"/>
      <c r="F3" s="2680"/>
      <c r="G3" s="2680"/>
      <c r="H3" s="2680"/>
      <c r="I3" s="2680"/>
      <c r="J3" s="2680"/>
      <c r="K3" s="2680"/>
      <c r="L3" s="2680"/>
      <c r="M3" s="2680"/>
      <c r="N3" s="2680"/>
      <c r="O3" s="2680"/>
      <c r="P3" s="2680"/>
      <c r="Q3" s="2680"/>
      <c r="R3" s="2680"/>
      <c r="S3" s="2680"/>
      <c r="T3" s="2680"/>
      <c r="U3" s="2680"/>
      <c r="V3" s="2641"/>
      <c r="W3" s="983"/>
      <c r="X3" s="983"/>
      <c r="Y3" s="983"/>
      <c r="Z3" s="5"/>
      <c r="AA3" s="5"/>
      <c r="AB3" s="5"/>
      <c r="AC3" s="5"/>
      <c r="AD3" s="5"/>
      <c r="AE3" s="389"/>
    </row>
    <row r="4" spans="1:31" ht="23.25" customHeight="1" x14ac:dyDescent="0.3">
      <c r="A4" s="236"/>
      <c r="B4" s="1678"/>
      <c r="C4" s="242"/>
      <c r="D4" s="25"/>
      <c r="E4" s="25"/>
      <c r="F4" s="25"/>
      <c r="G4" s="25"/>
      <c r="H4" s="25"/>
      <c r="I4" s="25"/>
      <c r="J4" s="25"/>
      <c r="K4" s="25"/>
      <c r="L4" s="25"/>
      <c r="M4" s="25"/>
      <c r="N4" s="25"/>
      <c r="O4" s="25"/>
      <c r="P4" s="26"/>
      <c r="Q4" s="1688"/>
      <c r="R4" s="37"/>
      <c r="S4" s="37"/>
      <c r="T4" s="37"/>
      <c r="U4" s="42"/>
      <c r="V4" s="26"/>
      <c r="W4" s="26"/>
      <c r="X4" s="26"/>
      <c r="Y4" s="26"/>
      <c r="Z4" s="5"/>
      <c r="AA4" s="5"/>
      <c r="AB4" s="5"/>
      <c r="AC4" s="5"/>
      <c r="AD4" s="5"/>
      <c r="AE4" s="389"/>
    </row>
    <row r="5" spans="1:31" ht="23.25" customHeight="1" x14ac:dyDescent="0.35">
      <c r="A5" s="236"/>
      <c r="B5" s="1679" t="s">
        <v>1</v>
      </c>
      <c r="C5" s="1680"/>
      <c r="D5" s="1680" t="s">
        <v>1117</v>
      </c>
      <c r="E5" s="9"/>
      <c r="F5" s="9"/>
      <c r="G5" s="9"/>
      <c r="H5" s="9"/>
      <c r="I5" s="9"/>
      <c r="J5" s="9"/>
      <c r="K5" s="9"/>
      <c r="L5" s="1681"/>
      <c r="M5" s="983"/>
      <c r="N5" s="983"/>
      <c r="O5" s="5"/>
      <c r="P5" s="5"/>
      <c r="Q5" s="5"/>
      <c r="R5" s="5"/>
      <c r="S5" s="5"/>
      <c r="T5" s="5"/>
      <c r="U5" s="5"/>
      <c r="V5" s="5"/>
      <c r="W5" s="5"/>
      <c r="X5" s="5"/>
      <c r="Y5" s="5"/>
      <c r="Z5" s="5"/>
      <c r="AA5" s="5"/>
      <c r="AB5" s="5"/>
      <c r="AC5" s="5"/>
      <c r="AD5" s="5"/>
      <c r="AE5" s="389"/>
    </row>
    <row r="6" spans="1:31" ht="23.25" customHeight="1" x14ac:dyDescent="0.35">
      <c r="A6" s="236"/>
      <c r="B6" s="13" t="s">
        <v>542</v>
      </c>
      <c r="C6" s="1680"/>
      <c r="D6" s="242" t="s">
        <v>543</v>
      </c>
      <c r="E6" s="9"/>
      <c r="F6" s="9"/>
      <c r="G6" s="9"/>
      <c r="H6" s="9"/>
      <c r="I6" s="9"/>
      <c r="J6" s="9"/>
      <c r="K6" s="9"/>
      <c r="L6" s="9"/>
      <c r="M6" s="983"/>
      <c r="N6" s="983"/>
      <c r="O6" s="5"/>
      <c r="P6" s="5"/>
      <c r="Q6" s="5"/>
      <c r="R6" s="5"/>
      <c r="S6" s="5"/>
      <c r="T6" s="5"/>
      <c r="U6" s="5"/>
      <c r="V6" s="5"/>
      <c r="W6" s="5"/>
      <c r="X6" s="5"/>
      <c r="Y6" s="5"/>
      <c r="Z6" s="5"/>
      <c r="AA6" s="5"/>
      <c r="AB6" s="5"/>
      <c r="AC6" s="5"/>
      <c r="AD6" s="5"/>
      <c r="AE6" s="389"/>
    </row>
    <row r="7" spans="1:31" ht="23.25" customHeight="1" x14ac:dyDescent="0.35">
      <c r="A7" s="236"/>
      <c r="B7" s="13" t="s">
        <v>544</v>
      </c>
      <c r="C7" s="1680"/>
      <c r="D7" s="1682">
        <v>52120087</v>
      </c>
      <c r="E7" s="9"/>
      <c r="F7" s="9"/>
      <c r="G7" s="9"/>
      <c r="H7" s="9"/>
      <c r="I7" s="9"/>
      <c r="J7" s="9"/>
      <c r="K7" s="9"/>
      <c r="L7" s="9"/>
      <c r="M7" s="983"/>
      <c r="N7" s="983"/>
      <c r="O7" s="5"/>
      <c r="P7" s="5"/>
      <c r="Q7" s="5"/>
      <c r="R7" s="5"/>
      <c r="S7" s="5"/>
      <c r="T7" s="5"/>
      <c r="U7" s="5"/>
      <c r="V7" s="5"/>
      <c r="W7" s="5"/>
      <c r="X7" s="5"/>
      <c r="Y7" s="5"/>
      <c r="Z7" s="5"/>
      <c r="AA7" s="5"/>
      <c r="AB7" s="5"/>
      <c r="AC7" s="5"/>
      <c r="AD7" s="5"/>
      <c r="AE7" s="389"/>
    </row>
    <row r="8" spans="1:31" ht="23.25" customHeight="1" x14ac:dyDescent="0.35">
      <c r="A8" s="236"/>
      <c r="B8" s="13" t="s">
        <v>545</v>
      </c>
      <c r="C8" s="1680"/>
      <c r="D8" s="1682" t="s">
        <v>1109</v>
      </c>
      <c r="E8" s="9"/>
      <c r="F8" s="9"/>
      <c r="G8" s="9"/>
      <c r="H8" s="9"/>
      <c r="I8" s="9"/>
      <c r="J8" s="9"/>
      <c r="K8" s="9"/>
      <c r="L8" s="9"/>
      <c r="M8" s="983"/>
      <c r="N8" s="983"/>
      <c r="O8" s="5"/>
      <c r="P8" s="5"/>
      <c r="Q8" s="5"/>
      <c r="R8" s="5"/>
      <c r="S8" s="5"/>
      <c r="T8" s="5"/>
      <c r="U8" s="5"/>
      <c r="V8" s="5"/>
      <c r="W8" s="5"/>
      <c r="X8" s="5"/>
      <c r="Y8" s="5"/>
      <c r="Z8" s="5"/>
      <c r="AA8" s="5"/>
      <c r="AB8" s="5"/>
      <c r="AC8" s="5"/>
      <c r="AD8" s="5"/>
      <c r="AE8" s="389"/>
    </row>
    <row r="9" spans="1:31" ht="23.25" customHeight="1" x14ac:dyDescent="0.3">
      <c r="A9" s="236"/>
      <c r="B9" s="13" t="s">
        <v>545</v>
      </c>
      <c r="C9" s="24"/>
      <c r="D9" s="2223" t="s">
        <v>1116</v>
      </c>
      <c r="E9" s="26"/>
      <c r="F9" s="26"/>
      <c r="G9" s="26"/>
      <c r="H9" s="26"/>
      <c r="I9" s="26"/>
      <c r="J9" s="26"/>
      <c r="K9" s="26"/>
      <c r="L9" s="26"/>
      <c r="M9" s="26"/>
      <c r="N9" s="26"/>
      <c r="O9" s="5"/>
      <c r="P9" s="5"/>
      <c r="Q9" s="5"/>
      <c r="R9" s="5"/>
      <c r="S9" s="5"/>
      <c r="T9" s="5"/>
      <c r="U9" s="5"/>
      <c r="V9" s="5"/>
      <c r="W9" s="5"/>
      <c r="X9" s="5"/>
      <c r="Y9" s="5"/>
      <c r="Z9" s="5"/>
      <c r="AA9" s="5"/>
      <c r="AB9" s="5"/>
      <c r="AC9" s="5"/>
      <c r="AD9" s="5"/>
      <c r="AE9" s="389"/>
    </row>
    <row r="10" spans="1:31" ht="23.25" customHeight="1" x14ac:dyDescent="0.3">
      <c r="A10" s="236"/>
      <c r="B10" s="23"/>
      <c r="C10" s="24"/>
      <c r="D10" s="25"/>
      <c r="E10" s="26"/>
      <c r="F10" s="26"/>
      <c r="G10" s="26"/>
      <c r="H10" s="26"/>
      <c r="I10" s="26"/>
      <c r="J10" s="26"/>
      <c r="K10" s="26"/>
      <c r="L10" s="26"/>
      <c r="M10" s="26"/>
      <c r="N10" s="26"/>
      <c r="O10" s="5"/>
      <c r="P10" s="5"/>
      <c r="Q10" s="5"/>
      <c r="R10" s="5"/>
      <c r="S10" s="5"/>
      <c r="T10" s="5"/>
      <c r="U10" s="5"/>
      <c r="V10" s="5"/>
      <c r="W10" s="5"/>
      <c r="X10" s="5"/>
      <c r="Y10" s="5"/>
      <c r="Z10" s="5"/>
      <c r="AA10" s="5"/>
      <c r="AB10" s="5"/>
      <c r="AC10" s="5"/>
      <c r="AD10" s="5"/>
      <c r="AE10" s="389"/>
    </row>
    <row r="11" spans="1:31" ht="23.25" customHeight="1" thickBot="1" x14ac:dyDescent="0.35">
      <c r="A11" s="236"/>
      <c r="B11" s="1689"/>
      <c r="C11" s="238"/>
      <c r="D11" s="239"/>
      <c r="E11" s="239"/>
      <c r="F11" s="239"/>
      <c r="G11" s="239"/>
      <c r="H11" s="239"/>
      <c r="I11" s="239"/>
      <c r="J11" s="239"/>
      <c r="K11" s="239"/>
      <c r="L11" s="239"/>
      <c r="M11" s="239"/>
      <c r="N11" s="239"/>
      <c r="O11" s="239"/>
      <c r="P11" s="240"/>
      <c r="Q11" s="240"/>
      <c r="R11" s="240"/>
      <c r="S11" s="240"/>
      <c r="T11" s="240"/>
      <c r="U11" s="240"/>
      <c r="V11" s="240"/>
      <c r="W11" s="26"/>
      <c r="X11" s="26"/>
      <c r="Y11" s="26"/>
      <c r="Z11" s="5"/>
      <c r="AA11" s="5"/>
      <c r="AB11" s="5"/>
      <c r="AC11" s="5"/>
      <c r="AD11" s="5"/>
      <c r="AE11" s="389"/>
    </row>
    <row r="12" spans="1:31" ht="38.25" customHeight="1" thickBot="1" x14ac:dyDescent="0.45">
      <c r="A12" s="236"/>
      <c r="B12" s="55" t="s">
        <v>1115</v>
      </c>
      <c r="C12" s="24"/>
      <c r="D12" s="25"/>
      <c r="E12" s="25"/>
      <c r="F12" s="25"/>
      <c r="G12" s="25"/>
      <c r="H12" s="25"/>
      <c r="I12" s="25"/>
      <c r="J12" s="25"/>
      <c r="K12" s="25"/>
      <c r="L12" s="25"/>
      <c r="M12" s="25"/>
      <c r="N12" s="25"/>
      <c r="O12" s="25"/>
      <c r="P12" s="26"/>
      <c r="Q12" s="26"/>
      <c r="R12" s="26"/>
      <c r="S12" s="26"/>
      <c r="T12" s="26"/>
      <c r="U12" s="26"/>
      <c r="V12" s="26"/>
      <c r="W12" s="240"/>
      <c r="X12" s="26"/>
      <c r="Y12" s="26"/>
      <c r="Z12" s="5"/>
      <c r="AA12" s="5"/>
      <c r="AB12" s="5"/>
      <c r="AC12" s="5"/>
      <c r="AD12" s="5"/>
      <c r="AE12" s="389"/>
    </row>
    <row r="13" spans="1:31" ht="62.25" customHeight="1" thickBot="1" x14ac:dyDescent="0.35">
      <c r="A13" s="257"/>
      <c r="B13" s="2406" t="s">
        <v>40</v>
      </c>
      <c r="C13" s="2407" t="s">
        <v>41</v>
      </c>
      <c r="D13" s="2408" t="s">
        <v>1095</v>
      </c>
      <c r="E13" s="2398"/>
      <c r="F13" s="2398"/>
      <c r="G13" s="2398"/>
      <c r="H13" s="2398"/>
      <c r="I13" s="2409"/>
      <c r="J13" s="2686" t="s">
        <v>1108</v>
      </c>
      <c r="K13" s="2687"/>
      <c r="L13" s="2687"/>
      <c r="M13" s="2687"/>
      <c r="N13" s="2687"/>
      <c r="O13" s="2688"/>
      <c r="P13" s="2696" t="s">
        <v>1091</v>
      </c>
      <c r="Q13" s="2697"/>
      <c r="R13" s="2697"/>
      <c r="S13" s="2697"/>
      <c r="T13" s="2698"/>
      <c r="U13" s="2699"/>
      <c r="V13" s="2700" t="s">
        <v>1107</v>
      </c>
      <c r="W13" s="2699"/>
      <c r="X13" s="2684" t="s">
        <v>1025</v>
      </c>
      <c r="Y13" s="2685"/>
      <c r="Z13" s="2686" t="s">
        <v>1114</v>
      </c>
      <c r="AA13" s="2687"/>
      <c r="AB13" s="2687"/>
      <c r="AC13" s="2687"/>
      <c r="AD13" s="2687"/>
      <c r="AE13" s="2688"/>
    </row>
    <row r="14" spans="1:31" ht="57" customHeight="1" x14ac:dyDescent="0.25">
      <c r="A14" s="224"/>
      <c r="B14" s="2394"/>
      <c r="C14" s="2285"/>
      <c r="D14" s="2395"/>
      <c r="E14" s="2396" t="s">
        <v>1092</v>
      </c>
      <c r="F14" s="2397" t="s">
        <v>1093</v>
      </c>
      <c r="G14" s="2397" t="s">
        <v>1094</v>
      </c>
      <c r="H14" s="2397" t="s">
        <v>1106</v>
      </c>
      <c r="I14" s="2398" t="s">
        <v>50</v>
      </c>
      <c r="J14" s="2399" t="s">
        <v>438</v>
      </c>
      <c r="K14" s="2399" t="s">
        <v>439</v>
      </c>
      <c r="L14" s="2399" t="s">
        <v>447</v>
      </c>
      <c r="M14" s="2399" t="s">
        <v>440</v>
      </c>
      <c r="N14" s="2399" t="s">
        <v>446</v>
      </c>
      <c r="O14" s="2400" t="s">
        <v>441</v>
      </c>
      <c r="P14" s="2401" t="s">
        <v>1087</v>
      </c>
      <c r="Q14" s="2402" t="s">
        <v>1088</v>
      </c>
      <c r="R14" s="2402" t="s">
        <v>1089</v>
      </c>
      <c r="S14" s="2402" t="s">
        <v>1090</v>
      </c>
      <c r="T14" s="2402" t="s">
        <v>45</v>
      </c>
      <c r="U14" s="2403" t="s">
        <v>50</v>
      </c>
      <c r="V14" s="2404" t="s">
        <v>1111</v>
      </c>
      <c r="W14" s="2403" t="s">
        <v>1112</v>
      </c>
      <c r="X14" s="2404" t="s">
        <v>1113</v>
      </c>
      <c r="Y14" s="2403" t="s">
        <v>1113</v>
      </c>
      <c r="Z14" s="2405" t="s">
        <v>438</v>
      </c>
      <c r="AA14" s="2399" t="s">
        <v>439</v>
      </c>
      <c r="AB14" s="2399" t="s">
        <v>447</v>
      </c>
      <c r="AC14" s="2399" t="s">
        <v>440</v>
      </c>
      <c r="AD14" s="2399" t="s">
        <v>446</v>
      </c>
      <c r="AE14" s="2399" t="s">
        <v>441</v>
      </c>
    </row>
    <row r="15" spans="1:31" ht="38.25" customHeight="1" thickBot="1" x14ac:dyDescent="0.35">
      <c r="A15" s="268">
        <v>1</v>
      </c>
      <c r="B15" s="136" t="s">
        <v>51</v>
      </c>
      <c r="C15" s="59"/>
      <c r="D15" s="59"/>
      <c r="E15" s="1690" t="s">
        <v>295</v>
      </c>
      <c r="F15" s="1690" t="s">
        <v>295</v>
      </c>
      <c r="G15" s="1690" t="s">
        <v>295</v>
      </c>
      <c r="H15" s="1690" t="s">
        <v>295</v>
      </c>
      <c r="I15" s="1691"/>
      <c r="J15" s="1691"/>
      <c r="K15" s="1691" t="s">
        <v>442</v>
      </c>
      <c r="L15" s="1691" t="s">
        <v>443</v>
      </c>
      <c r="M15" s="1691" t="s">
        <v>443</v>
      </c>
      <c r="N15" s="1691" t="s">
        <v>444</v>
      </c>
      <c r="O15" s="1692" t="s">
        <v>444</v>
      </c>
      <c r="P15" s="1481" t="s">
        <v>295</v>
      </c>
      <c r="Q15" s="1482" t="s">
        <v>295</v>
      </c>
      <c r="R15" s="1482" t="s">
        <v>295</v>
      </c>
      <c r="S15" s="1482" t="s">
        <v>295</v>
      </c>
      <c r="T15" s="1482" t="s">
        <v>295</v>
      </c>
      <c r="U15" s="1483"/>
      <c r="V15" s="1401" t="s">
        <v>546</v>
      </c>
      <c r="W15" s="1402" t="s">
        <v>1024</v>
      </c>
      <c r="X15" s="1401" t="s">
        <v>295</v>
      </c>
      <c r="Y15" s="1402" t="s">
        <v>1024</v>
      </c>
      <c r="Z15" s="1693"/>
      <c r="AA15" s="1694" t="s">
        <v>442</v>
      </c>
      <c r="AB15" s="1694" t="s">
        <v>443</v>
      </c>
      <c r="AC15" s="1694" t="s">
        <v>443</v>
      </c>
      <c r="AD15" s="1694" t="s">
        <v>444</v>
      </c>
      <c r="AE15" s="1694" t="s">
        <v>444</v>
      </c>
    </row>
    <row r="16" spans="1:31" ht="69" customHeight="1" x14ac:dyDescent="0.3">
      <c r="A16" s="273" t="s">
        <v>52</v>
      </c>
      <c r="B16" s="2689" t="s">
        <v>53</v>
      </c>
      <c r="C16" s="2690"/>
      <c r="D16" s="2690"/>
      <c r="E16" s="1293"/>
      <c r="F16" s="1294"/>
      <c r="G16" s="1294"/>
      <c r="H16" s="1294"/>
      <c r="I16" s="1695"/>
      <c r="J16" s="1695"/>
      <c r="K16" s="1696"/>
      <c r="L16" s="1695"/>
      <c r="M16" s="1695"/>
      <c r="N16" s="1695"/>
      <c r="O16" s="1697"/>
      <c r="P16" s="1698"/>
      <c r="Q16" s="1699"/>
      <c r="R16" s="1699"/>
      <c r="S16" s="1699"/>
      <c r="T16" s="1699"/>
      <c r="U16" s="1700"/>
      <c r="V16" s="1701"/>
      <c r="W16" s="1702"/>
      <c r="X16" s="1701"/>
      <c r="Y16" s="1702"/>
      <c r="Z16" s="1703"/>
      <c r="AA16" s="1695"/>
      <c r="AB16" s="1695"/>
      <c r="AC16" s="1695"/>
      <c r="AD16" s="1695"/>
      <c r="AE16" s="1695"/>
    </row>
    <row r="17" spans="1:31" ht="87" customHeight="1" x14ac:dyDescent="0.3">
      <c r="A17" s="224"/>
      <c r="B17" s="1704"/>
      <c r="C17" s="2240" t="s">
        <v>54</v>
      </c>
      <c r="D17" s="2245" t="s">
        <v>648</v>
      </c>
      <c r="E17" s="1705">
        <v>6540</v>
      </c>
      <c r="F17" s="1706">
        <v>0</v>
      </c>
      <c r="G17" s="1706">
        <v>0</v>
      </c>
      <c r="H17" s="1707">
        <f>SUM(E17:G17)</f>
        <v>6540</v>
      </c>
      <c r="I17" s="1708" t="s">
        <v>56</v>
      </c>
      <c r="J17" s="1709" t="s">
        <v>991</v>
      </c>
      <c r="K17" s="1710">
        <v>2</v>
      </c>
      <c r="L17" s="1709">
        <f>H17/2</f>
        <v>3270</v>
      </c>
      <c r="M17" s="1709">
        <f>L17/1.1317</f>
        <v>2889.4583370151104</v>
      </c>
      <c r="N17" s="1709">
        <f t="shared" ref="N17:N26" si="0">K17*L17</f>
        <v>6540</v>
      </c>
      <c r="O17" s="1711">
        <f>N17/1.1317</f>
        <v>5778.9166740302207</v>
      </c>
      <c r="P17" s="1712"/>
      <c r="Q17" s="1713"/>
      <c r="R17" s="1713"/>
      <c r="S17" s="1713">
        <v>800</v>
      </c>
      <c r="T17" s="1714">
        <f>SUM(P17:S17)</f>
        <v>800</v>
      </c>
      <c r="U17" s="1715" t="s">
        <v>1061</v>
      </c>
      <c r="V17" s="1716">
        <f t="shared" ref="V17:V23" si="1">P17+Q17+R17+S17</f>
        <v>800</v>
      </c>
      <c r="W17" s="1717">
        <f>V17/1.11</f>
        <v>720.72072072072069</v>
      </c>
      <c r="X17" s="1716">
        <f t="shared" ref="X17:X26" si="2">V17-N17</f>
        <v>-5740</v>
      </c>
      <c r="Y17" s="1717">
        <f t="shared" ref="Y17:Y26" si="3">W17-O17</f>
        <v>-5058.1959533094996</v>
      </c>
      <c r="Z17" s="1718" t="s">
        <v>991</v>
      </c>
      <c r="AA17" s="1710">
        <v>2</v>
      </c>
      <c r="AB17" s="1709">
        <f>V17/2</f>
        <v>400</v>
      </c>
      <c r="AC17" s="1709">
        <f>AB17/1.1317</f>
        <v>353.45056110276579</v>
      </c>
      <c r="AD17" s="1709">
        <f t="shared" ref="AD17:AD26" si="4">AA17*AB17</f>
        <v>800</v>
      </c>
      <c r="AE17" s="1709">
        <f>AD17/1.1317</f>
        <v>706.90112220553158</v>
      </c>
    </row>
    <row r="18" spans="1:31" ht="51.75" customHeight="1" x14ac:dyDescent="0.3">
      <c r="A18" s="224"/>
      <c r="B18" s="1092"/>
      <c r="C18" s="2239" t="s">
        <v>445</v>
      </c>
      <c r="D18" s="2246" t="s">
        <v>647</v>
      </c>
      <c r="E18" s="1705"/>
      <c r="F18" s="1706"/>
      <c r="G18" s="1706"/>
      <c r="H18" s="1707">
        <f t="shared" ref="H18:H26" si="5">SUM(E18:G18)</f>
        <v>0</v>
      </c>
      <c r="I18" s="1708"/>
      <c r="J18" s="1709"/>
      <c r="K18" s="1710">
        <v>0</v>
      </c>
      <c r="L18" s="1709">
        <f t="shared" ref="L18:L25" si="6">H18/2</f>
        <v>0</v>
      </c>
      <c r="M18" s="1709">
        <f t="shared" ref="M18:M26" si="7">L18/1.1317</f>
        <v>0</v>
      </c>
      <c r="N18" s="1709">
        <f t="shared" si="0"/>
        <v>0</v>
      </c>
      <c r="O18" s="1711">
        <f t="shared" ref="O18:O26" si="8">N18/1.1317</f>
        <v>0</v>
      </c>
      <c r="P18" s="1719"/>
      <c r="Q18" s="1714"/>
      <c r="R18" s="1714">
        <v>5000</v>
      </c>
      <c r="S18" s="1714"/>
      <c r="T18" s="1714">
        <f>SUM(D18:S18)</f>
        <v>5000</v>
      </c>
      <c r="U18" s="1715" t="s">
        <v>650</v>
      </c>
      <c r="V18" s="1716">
        <f t="shared" si="1"/>
        <v>5000</v>
      </c>
      <c r="W18" s="1717">
        <f t="shared" ref="W18:W26" si="9">V18/1.11</f>
        <v>4504.5045045045044</v>
      </c>
      <c r="X18" s="1716">
        <f t="shared" si="2"/>
        <v>5000</v>
      </c>
      <c r="Y18" s="1717">
        <f t="shared" si="3"/>
        <v>4504.5045045045044</v>
      </c>
      <c r="Z18" s="1718" t="s">
        <v>1000</v>
      </c>
      <c r="AA18" s="1710">
        <v>10</v>
      </c>
      <c r="AB18" s="1709">
        <f>V18/10</f>
        <v>500</v>
      </c>
      <c r="AC18" s="1709">
        <f t="shared" ref="AC18:AC26" si="10">AB18/1.1317</f>
        <v>441.81320137845722</v>
      </c>
      <c r="AD18" s="1709">
        <f t="shared" si="4"/>
        <v>5000</v>
      </c>
      <c r="AE18" s="1709">
        <f t="shared" ref="AE18:AE26" si="11">AD18/1.1317</f>
        <v>4418.1320137845723</v>
      </c>
    </row>
    <row r="19" spans="1:31" ht="54.75" customHeight="1" x14ac:dyDescent="0.3">
      <c r="A19" s="224"/>
      <c r="B19" s="1092"/>
      <c r="C19" s="2241" t="s">
        <v>57</v>
      </c>
      <c r="D19" s="2247" t="s">
        <v>763</v>
      </c>
      <c r="E19" s="1705"/>
      <c r="F19" s="1706"/>
      <c r="G19" s="1706"/>
      <c r="H19" s="1707">
        <f t="shared" si="5"/>
        <v>0</v>
      </c>
      <c r="I19" s="1708"/>
      <c r="J19" s="1709"/>
      <c r="K19" s="1710">
        <v>0</v>
      </c>
      <c r="L19" s="1709">
        <f t="shared" si="6"/>
        <v>0</v>
      </c>
      <c r="M19" s="1709">
        <f t="shared" si="7"/>
        <v>0</v>
      </c>
      <c r="N19" s="1709">
        <f t="shared" si="0"/>
        <v>0</v>
      </c>
      <c r="O19" s="1711">
        <f t="shared" si="8"/>
        <v>0</v>
      </c>
      <c r="P19" s="1712"/>
      <c r="Q19" s="1713"/>
      <c r="R19" s="1713"/>
      <c r="S19" s="1713">
        <f>6300+2000</f>
        <v>8300</v>
      </c>
      <c r="T19" s="1714">
        <f t="shared" ref="T19:T26" si="12">SUM(P19:S19)</f>
        <v>8300</v>
      </c>
      <c r="U19" s="1720" t="s">
        <v>896</v>
      </c>
      <c r="V19" s="1716">
        <f t="shared" si="1"/>
        <v>8300</v>
      </c>
      <c r="W19" s="1717">
        <f t="shared" si="9"/>
        <v>7477.4774774774769</v>
      </c>
      <c r="X19" s="1716">
        <f t="shared" si="2"/>
        <v>8300</v>
      </c>
      <c r="Y19" s="1717">
        <f t="shared" si="3"/>
        <v>7477.4774774774769</v>
      </c>
      <c r="Z19" s="1718" t="s">
        <v>991</v>
      </c>
      <c r="AA19" s="1710">
        <v>6</v>
      </c>
      <c r="AB19" s="1709">
        <f>V19/6</f>
        <v>1383.3333333333333</v>
      </c>
      <c r="AC19" s="1709">
        <f t="shared" si="10"/>
        <v>1222.349857147065</v>
      </c>
      <c r="AD19" s="1709">
        <f t="shared" si="4"/>
        <v>8300</v>
      </c>
      <c r="AE19" s="1709">
        <f t="shared" si="11"/>
        <v>7334.09914288239</v>
      </c>
    </row>
    <row r="20" spans="1:31" ht="70.5" customHeight="1" x14ac:dyDescent="0.3">
      <c r="A20" s="224"/>
      <c r="B20" s="1092"/>
      <c r="C20" s="2241" t="s">
        <v>651</v>
      </c>
      <c r="D20" s="2247" t="s">
        <v>652</v>
      </c>
      <c r="E20" s="1705">
        <v>12925</v>
      </c>
      <c r="F20" s="1706"/>
      <c r="G20" s="1706"/>
      <c r="H20" s="1707">
        <f t="shared" si="5"/>
        <v>12925</v>
      </c>
      <c r="I20" s="1708" t="s">
        <v>59</v>
      </c>
      <c r="J20" s="1709" t="s">
        <v>993</v>
      </c>
      <c r="K20" s="1710">
        <v>75</v>
      </c>
      <c r="L20" s="1709">
        <f>H20/75</f>
        <v>172.33333333333334</v>
      </c>
      <c r="M20" s="1709">
        <f t="shared" si="7"/>
        <v>152.27828340844161</v>
      </c>
      <c r="N20" s="1709">
        <f t="shared" si="0"/>
        <v>12925</v>
      </c>
      <c r="O20" s="1711">
        <f t="shared" si="8"/>
        <v>11420.871255633119</v>
      </c>
      <c r="P20" s="1712"/>
      <c r="Q20" s="1713">
        <v>43610</v>
      </c>
      <c r="R20" s="1713">
        <f>34200</f>
        <v>34200</v>
      </c>
      <c r="S20" s="1713"/>
      <c r="T20" s="1714">
        <f t="shared" si="12"/>
        <v>77810</v>
      </c>
      <c r="U20" s="1715" t="s">
        <v>756</v>
      </c>
      <c r="V20" s="1716">
        <f t="shared" si="1"/>
        <v>77810</v>
      </c>
      <c r="W20" s="1717">
        <f t="shared" si="9"/>
        <v>70099.099099099098</v>
      </c>
      <c r="X20" s="1716">
        <f t="shared" si="2"/>
        <v>64885</v>
      </c>
      <c r="Y20" s="1717">
        <f t="shared" si="3"/>
        <v>58678.227843465982</v>
      </c>
      <c r="Z20" s="1718" t="s">
        <v>993</v>
      </c>
      <c r="AA20" s="1710">
        <v>240</v>
      </c>
      <c r="AB20" s="1709">
        <f>V20/240</f>
        <v>324.20833333333331</v>
      </c>
      <c r="AC20" s="1709">
        <f t="shared" si="10"/>
        <v>286.47904332714796</v>
      </c>
      <c r="AD20" s="1709">
        <f t="shared" si="4"/>
        <v>77810</v>
      </c>
      <c r="AE20" s="1709">
        <f t="shared" si="11"/>
        <v>68754.970398515507</v>
      </c>
    </row>
    <row r="21" spans="1:31" ht="84.75" customHeight="1" x14ac:dyDescent="0.3">
      <c r="A21" s="224"/>
      <c r="B21" s="1092"/>
      <c r="C21" s="2242" t="s">
        <v>60</v>
      </c>
      <c r="D21" s="2248" t="s">
        <v>582</v>
      </c>
      <c r="E21" s="1705">
        <f>6000</f>
        <v>6000</v>
      </c>
      <c r="F21" s="1706">
        <f>6000</f>
        <v>6000</v>
      </c>
      <c r="G21" s="1706"/>
      <c r="H21" s="1707">
        <f t="shared" si="5"/>
        <v>12000</v>
      </c>
      <c r="I21" s="1708" t="s">
        <v>335</v>
      </c>
      <c r="J21" s="1709" t="s">
        <v>992</v>
      </c>
      <c r="K21" s="1710">
        <v>3</v>
      </c>
      <c r="L21" s="1709">
        <f>H21/3</f>
        <v>4000</v>
      </c>
      <c r="M21" s="1709">
        <f t="shared" si="7"/>
        <v>3534.5056110276578</v>
      </c>
      <c r="N21" s="1709">
        <f t="shared" si="0"/>
        <v>12000</v>
      </c>
      <c r="O21" s="1711">
        <f t="shared" si="8"/>
        <v>10603.516833082973</v>
      </c>
      <c r="P21" s="1712">
        <f>3140</f>
        <v>3140</v>
      </c>
      <c r="Q21" s="1713">
        <f>11693</f>
        <v>11693</v>
      </c>
      <c r="R21" s="1713">
        <f>7567</f>
        <v>7567</v>
      </c>
      <c r="S21" s="1713">
        <f>9600</f>
        <v>9600</v>
      </c>
      <c r="T21" s="1714">
        <f t="shared" si="12"/>
        <v>32000</v>
      </c>
      <c r="U21" s="1715" t="s">
        <v>1062</v>
      </c>
      <c r="V21" s="1716">
        <f t="shared" si="1"/>
        <v>32000</v>
      </c>
      <c r="W21" s="1717">
        <f t="shared" si="9"/>
        <v>28828.828828828828</v>
      </c>
      <c r="X21" s="1716">
        <f t="shared" si="2"/>
        <v>20000</v>
      </c>
      <c r="Y21" s="1717">
        <f t="shared" si="3"/>
        <v>18225.311995745855</v>
      </c>
      <c r="Z21" s="1718" t="s">
        <v>992</v>
      </c>
      <c r="AA21" s="1710">
        <v>2</v>
      </c>
      <c r="AB21" s="1709">
        <f>V21/2</f>
        <v>16000</v>
      </c>
      <c r="AC21" s="1709">
        <f t="shared" si="10"/>
        <v>14138.022444110631</v>
      </c>
      <c r="AD21" s="1709">
        <f t="shared" si="4"/>
        <v>32000</v>
      </c>
      <c r="AE21" s="1709">
        <f t="shared" si="11"/>
        <v>28276.044888221262</v>
      </c>
    </row>
    <row r="22" spans="1:31" ht="96" customHeight="1" x14ac:dyDescent="0.3">
      <c r="A22" s="224"/>
      <c r="B22" s="1092"/>
      <c r="C22" s="2241" t="s">
        <v>62</v>
      </c>
      <c r="D22" s="2247" t="s">
        <v>753</v>
      </c>
      <c r="E22" s="1705">
        <v>91075</v>
      </c>
      <c r="F22" s="1706">
        <v>62675</v>
      </c>
      <c r="G22" s="1706"/>
      <c r="H22" s="1707">
        <f t="shared" si="5"/>
        <v>153750</v>
      </c>
      <c r="I22" s="1708" t="s">
        <v>64</v>
      </c>
      <c r="J22" s="1709" t="s">
        <v>994</v>
      </c>
      <c r="K22" s="1710">
        <v>6</v>
      </c>
      <c r="L22" s="1709">
        <f>H22/6</f>
        <v>25625</v>
      </c>
      <c r="M22" s="1709">
        <f t="shared" si="7"/>
        <v>22642.926570645934</v>
      </c>
      <c r="N22" s="1709">
        <f t="shared" si="0"/>
        <v>153750</v>
      </c>
      <c r="O22" s="1711">
        <f t="shared" si="8"/>
        <v>135857.55942387559</v>
      </c>
      <c r="P22" s="1712">
        <f>95250</f>
        <v>95250</v>
      </c>
      <c r="Q22" s="1713">
        <f>204585+700+9846.64</f>
        <v>215131.64</v>
      </c>
      <c r="R22" s="1713">
        <f>84000+37100+700</f>
        <v>121800</v>
      </c>
      <c r="S22" s="1713"/>
      <c r="T22" s="1714">
        <f t="shared" si="12"/>
        <v>432181.64</v>
      </c>
      <c r="U22" s="1715" t="s">
        <v>722</v>
      </c>
      <c r="V22" s="1716">
        <f t="shared" si="1"/>
        <v>432181.64</v>
      </c>
      <c r="W22" s="1717">
        <f t="shared" si="9"/>
        <v>389352.82882882882</v>
      </c>
      <c r="X22" s="1716">
        <f t="shared" si="2"/>
        <v>278431.64</v>
      </c>
      <c r="Y22" s="1717">
        <f t="shared" si="3"/>
        <v>253495.26940495323</v>
      </c>
      <c r="Z22" s="1718" t="s">
        <v>994</v>
      </c>
      <c r="AA22" s="1710">
        <v>12</v>
      </c>
      <c r="AB22" s="1709">
        <f>V22/12</f>
        <v>36015.136666666665</v>
      </c>
      <c r="AC22" s="1709">
        <f t="shared" si="10"/>
        <v>31823.925657565316</v>
      </c>
      <c r="AD22" s="1709">
        <f t="shared" si="4"/>
        <v>432181.64</v>
      </c>
      <c r="AE22" s="1709">
        <f t="shared" si="11"/>
        <v>381887.10789078381</v>
      </c>
    </row>
    <row r="23" spans="1:31" ht="92.25" customHeight="1" x14ac:dyDescent="0.3">
      <c r="A23" s="224"/>
      <c r="B23" s="1092"/>
      <c r="C23" s="2243" t="s">
        <v>730</v>
      </c>
      <c r="D23" s="2246" t="s">
        <v>899</v>
      </c>
      <c r="E23" s="1705"/>
      <c r="F23" s="1706"/>
      <c r="G23" s="1706"/>
      <c r="H23" s="1707">
        <f t="shared" si="5"/>
        <v>0</v>
      </c>
      <c r="I23" s="1708"/>
      <c r="J23" s="1709"/>
      <c r="K23" s="1710">
        <v>0</v>
      </c>
      <c r="L23" s="1709">
        <f t="shared" si="6"/>
        <v>0</v>
      </c>
      <c r="M23" s="1709">
        <f t="shared" si="7"/>
        <v>0</v>
      </c>
      <c r="N23" s="1709">
        <f t="shared" si="0"/>
        <v>0</v>
      </c>
      <c r="O23" s="1711">
        <f t="shared" si="8"/>
        <v>0</v>
      </c>
      <c r="P23" s="1712"/>
      <c r="Q23" s="1713"/>
      <c r="R23" s="1713"/>
      <c r="S23" s="1713">
        <v>74200</v>
      </c>
      <c r="T23" s="1714">
        <f>SUM(P23:S23)</f>
        <v>74200</v>
      </c>
      <c r="U23" s="1715" t="s">
        <v>900</v>
      </c>
      <c r="V23" s="1716">
        <f t="shared" si="1"/>
        <v>74200</v>
      </c>
      <c r="W23" s="1717">
        <f t="shared" si="9"/>
        <v>66846.846846846835</v>
      </c>
      <c r="X23" s="1716">
        <f t="shared" si="2"/>
        <v>74200</v>
      </c>
      <c r="Y23" s="1717">
        <f t="shared" si="3"/>
        <v>66846.846846846835</v>
      </c>
      <c r="Z23" s="1718" t="s">
        <v>994</v>
      </c>
      <c r="AA23" s="1710">
        <v>3</v>
      </c>
      <c r="AB23" s="1709">
        <f>V23/3</f>
        <v>24733.333333333332</v>
      </c>
      <c r="AC23" s="1709">
        <f t="shared" si="10"/>
        <v>21855.026361521017</v>
      </c>
      <c r="AD23" s="1709">
        <f t="shared" si="4"/>
        <v>74200</v>
      </c>
      <c r="AE23" s="1709">
        <f t="shared" si="11"/>
        <v>65565.079084563054</v>
      </c>
    </row>
    <row r="24" spans="1:31" ht="67.5" customHeight="1" x14ac:dyDescent="0.3">
      <c r="A24" s="224"/>
      <c r="B24" s="1092"/>
      <c r="C24" s="2244" t="s">
        <v>65</v>
      </c>
      <c r="D24" s="2249" t="s">
        <v>66</v>
      </c>
      <c r="E24" s="1721">
        <v>15220</v>
      </c>
      <c r="F24" s="1722">
        <f>2400</f>
        <v>2400</v>
      </c>
      <c r="G24" s="1722"/>
      <c r="H24" s="1723">
        <f t="shared" si="5"/>
        <v>17620</v>
      </c>
      <c r="I24" s="1708" t="s">
        <v>67</v>
      </c>
      <c r="J24" s="1709" t="s">
        <v>995</v>
      </c>
      <c r="K24" s="1710">
        <v>40</v>
      </c>
      <c r="L24" s="1709">
        <f>H24/40</f>
        <v>440.5</v>
      </c>
      <c r="M24" s="1709">
        <f t="shared" si="7"/>
        <v>389.23743041442083</v>
      </c>
      <c r="N24" s="1709">
        <f t="shared" si="0"/>
        <v>17620</v>
      </c>
      <c r="O24" s="1711">
        <f t="shared" si="8"/>
        <v>15569.497216576832</v>
      </c>
      <c r="P24" s="1712"/>
      <c r="Q24" s="1713"/>
      <c r="R24" s="1713"/>
      <c r="S24" s="1713"/>
      <c r="T24" s="1714"/>
      <c r="U24" s="1715"/>
      <c r="V24" s="1716"/>
      <c r="W24" s="1717"/>
      <c r="X24" s="1716">
        <f t="shared" si="2"/>
        <v>-17620</v>
      </c>
      <c r="Y24" s="1717">
        <f t="shared" si="3"/>
        <v>-15569.497216576832</v>
      </c>
      <c r="Z24" s="1718"/>
      <c r="AA24" s="1710"/>
      <c r="AB24" s="1709"/>
      <c r="AC24" s="1709"/>
      <c r="AD24" s="1709"/>
      <c r="AE24" s="1709">
        <f t="shared" si="11"/>
        <v>0</v>
      </c>
    </row>
    <row r="25" spans="1:31" ht="66" customHeight="1" x14ac:dyDescent="0.3">
      <c r="A25" s="224"/>
      <c r="B25" s="1092"/>
      <c r="C25" s="2244" t="s">
        <v>972</v>
      </c>
      <c r="D25" s="2249" t="s">
        <v>752</v>
      </c>
      <c r="E25" s="1724"/>
      <c r="F25" s="1725"/>
      <c r="G25" s="1725"/>
      <c r="H25" s="1726">
        <f t="shared" si="5"/>
        <v>0</v>
      </c>
      <c r="I25" s="1708"/>
      <c r="J25" s="1709"/>
      <c r="K25" s="1710"/>
      <c r="L25" s="1709">
        <f t="shared" si="6"/>
        <v>0</v>
      </c>
      <c r="M25" s="1709">
        <f t="shared" si="7"/>
        <v>0</v>
      </c>
      <c r="N25" s="1709">
        <f t="shared" si="0"/>
        <v>0</v>
      </c>
      <c r="O25" s="1711">
        <f t="shared" si="8"/>
        <v>0</v>
      </c>
      <c r="P25" s="1712"/>
      <c r="Q25" s="1713"/>
      <c r="R25" s="1713">
        <f>2940</f>
        <v>2940</v>
      </c>
      <c r="S25" s="1713"/>
      <c r="T25" s="1714">
        <f t="shared" ref="T25" si="13">SUM(P25:S25)</f>
        <v>2940</v>
      </c>
      <c r="U25" s="1715" t="s">
        <v>869</v>
      </c>
      <c r="V25" s="1716">
        <f>P25+Q25+R25+S25</f>
        <v>2940</v>
      </c>
      <c r="W25" s="1717">
        <f t="shared" si="9"/>
        <v>2648.6486486486483</v>
      </c>
      <c r="X25" s="1716">
        <f t="shared" si="2"/>
        <v>2940</v>
      </c>
      <c r="Y25" s="1717">
        <f t="shared" si="3"/>
        <v>2648.6486486486483</v>
      </c>
      <c r="Z25" s="1718" t="s">
        <v>993</v>
      </c>
      <c r="AA25" s="1710">
        <v>42</v>
      </c>
      <c r="AB25" s="1709">
        <f>V25/42</f>
        <v>70</v>
      </c>
      <c r="AC25" s="1709">
        <f t="shared" si="10"/>
        <v>61.85384819298401</v>
      </c>
      <c r="AD25" s="1709">
        <f t="shared" si="4"/>
        <v>2940</v>
      </c>
      <c r="AE25" s="1709">
        <f t="shared" si="11"/>
        <v>2597.8616241053282</v>
      </c>
    </row>
    <row r="26" spans="1:31" ht="83.25" customHeight="1" x14ac:dyDescent="0.3">
      <c r="A26" s="224"/>
      <c r="B26" s="1303"/>
      <c r="C26" s="2243" t="s">
        <v>68</v>
      </c>
      <c r="D26" s="2246" t="s">
        <v>69</v>
      </c>
      <c r="E26" s="1705">
        <f>10700</f>
        <v>10700</v>
      </c>
      <c r="F26" s="1706">
        <f>2775</f>
        <v>2775</v>
      </c>
      <c r="G26" s="1706"/>
      <c r="H26" s="1707">
        <f t="shared" si="5"/>
        <v>13475</v>
      </c>
      <c r="I26" s="1708" t="s">
        <v>70</v>
      </c>
      <c r="J26" s="1709" t="s">
        <v>993</v>
      </c>
      <c r="K26" s="1710">
        <v>15</v>
      </c>
      <c r="L26" s="1709">
        <f>H26/15</f>
        <v>898.33333333333337</v>
      </c>
      <c r="M26" s="1709">
        <f t="shared" si="7"/>
        <v>793.79105180996146</v>
      </c>
      <c r="N26" s="1709">
        <f t="shared" si="0"/>
        <v>13475</v>
      </c>
      <c r="O26" s="1711">
        <f t="shared" si="8"/>
        <v>11906.865777149422</v>
      </c>
      <c r="P26" s="1712">
        <f>10560</f>
        <v>10560</v>
      </c>
      <c r="Q26" s="1713"/>
      <c r="R26" s="1713"/>
      <c r="S26" s="1713"/>
      <c r="T26" s="1714">
        <f t="shared" si="12"/>
        <v>10560</v>
      </c>
      <c r="U26" s="1715" t="s">
        <v>764</v>
      </c>
      <c r="V26" s="1716">
        <f>P26+Q26+R26+S26</f>
        <v>10560</v>
      </c>
      <c r="W26" s="1717">
        <f t="shared" si="9"/>
        <v>9513.5135135135133</v>
      </c>
      <c r="X26" s="1716">
        <f t="shared" si="2"/>
        <v>-2915</v>
      </c>
      <c r="Y26" s="1717">
        <f t="shared" si="3"/>
        <v>-2393.3522636359085</v>
      </c>
      <c r="Z26" s="1718" t="s">
        <v>993</v>
      </c>
      <c r="AA26" s="1710">
        <v>15</v>
      </c>
      <c r="AB26" s="1709">
        <f>V26/15</f>
        <v>704</v>
      </c>
      <c r="AC26" s="1709">
        <f t="shared" si="10"/>
        <v>622.07298754086776</v>
      </c>
      <c r="AD26" s="1709">
        <f t="shared" si="4"/>
        <v>10560</v>
      </c>
      <c r="AE26" s="1709">
        <f t="shared" si="11"/>
        <v>9331.0948131130172</v>
      </c>
    </row>
    <row r="27" spans="1:31" ht="47.25" customHeight="1" thickBot="1" x14ac:dyDescent="0.35">
      <c r="A27" s="224"/>
      <c r="B27" s="1303"/>
      <c r="C27" s="1338"/>
      <c r="D27" s="2250"/>
      <c r="E27" s="1727"/>
      <c r="F27" s="1728"/>
      <c r="G27" s="1728"/>
      <c r="H27" s="1729"/>
      <c r="I27" s="1708"/>
      <c r="J27" s="1730"/>
      <c r="K27" s="1731"/>
      <c r="L27" s="1730"/>
      <c r="M27" s="1730"/>
      <c r="N27" s="1730"/>
      <c r="O27" s="1732"/>
      <c r="P27" s="1733"/>
      <c r="Q27" s="1734"/>
      <c r="R27" s="1734"/>
      <c r="S27" s="1734"/>
      <c r="T27" s="1734"/>
      <c r="U27" s="1735"/>
      <c r="V27" s="1736"/>
      <c r="W27" s="1737"/>
      <c r="X27" s="1736"/>
      <c r="Y27" s="1737"/>
      <c r="Z27" s="1738"/>
      <c r="AA27" s="1731"/>
      <c r="AB27" s="1730"/>
      <c r="AC27" s="1730"/>
      <c r="AD27" s="1730"/>
      <c r="AE27" s="1730"/>
    </row>
    <row r="28" spans="1:31" ht="36.75" customHeight="1" thickBot="1" x14ac:dyDescent="0.35">
      <c r="A28" s="284"/>
      <c r="B28" s="1739" t="s">
        <v>45</v>
      </c>
      <c r="C28" s="2144"/>
      <c r="D28" s="2251"/>
      <c r="E28" s="1740">
        <f t="shared" ref="E28:H28" si="14">SUM(E17:E27)</f>
        <v>142460</v>
      </c>
      <c r="F28" s="1741">
        <f t="shared" si="14"/>
        <v>73850</v>
      </c>
      <c r="G28" s="1741">
        <f t="shared" si="14"/>
        <v>0</v>
      </c>
      <c r="H28" s="1742">
        <f t="shared" si="14"/>
        <v>216310</v>
      </c>
      <c r="I28" s="1743"/>
      <c r="J28" s="1743"/>
      <c r="K28" s="1744"/>
      <c r="L28" s="1743"/>
      <c r="M28" s="1743"/>
      <c r="N28" s="1743">
        <f t="shared" ref="N28" si="15">SUM(N17:N27)</f>
        <v>216310</v>
      </c>
      <c r="O28" s="1745">
        <f>SUM(O17:O27)-0.23</f>
        <v>191136.99718034815</v>
      </c>
      <c r="P28" s="1746">
        <f>SUM(P17:P27)</f>
        <v>108950</v>
      </c>
      <c r="Q28" s="1747">
        <f>SUM(Q17:Q27)</f>
        <v>270434.64</v>
      </c>
      <c r="R28" s="1747">
        <f>SUM(R17:R27)</f>
        <v>171507</v>
      </c>
      <c r="S28" s="1747">
        <f>SUM(S17:S27)</f>
        <v>92900</v>
      </c>
      <c r="T28" s="1747">
        <f>SUM(T17:T27)</f>
        <v>643791.64</v>
      </c>
      <c r="U28" s="1748"/>
      <c r="V28" s="1746">
        <f t="shared" ref="V28:AE28" si="16">SUM(V17:V27)</f>
        <v>643791.64</v>
      </c>
      <c r="W28" s="1748">
        <f t="shared" si="16"/>
        <v>579992.4684684684</v>
      </c>
      <c r="X28" s="1746">
        <f t="shared" si="16"/>
        <v>427481.64</v>
      </c>
      <c r="Y28" s="1748">
        <f t="shared" si="16"/>
        <v>388855.24128812033</v>
      </c>
      <c r="Z28" s="1749"/>
      <c r="AA28" s="1744"/>
      <c r="AB28" s="1743"/>
      <c r="AC28" s="1743">
        <f t="shared" si="16"/>
        <v>70804.993961886255</v>
      </c>
      <c r="AD28" s="1743">
        <f t="shared" si="16"/>
        <v>643791.64</v>
      </c>
      <c r="AE28" s="1743">
        <f t="shared" si="16"/>
        <v>568871.29097817442</v>
      </c>
    </row>
    <row r="29" spans="1:31" ht="21" thickBot="1" x14ac:dyDescent="0.35">
      <c r="A29" s="224"/>
      <c r="B29" s="1750"/>
      <c r="C29" s="1751"/>
      <c r="D29" s="1751"/>
      <c r="E29" s="1752"/>
      <c r="F29" s="1753"/>
      <c r="G29" s="1753"/>
      <c r="H29" s="1754"/>
      <c r="I29" s="2386"/>
      <c r="J29" s="2387"/>
      <c r="K29" s="2388"/>
      <c r="L29" s="2387"/>
      <c r="M29" s="2387"/>
      <c r="N29" s="2387"/>
      <c r="O29" s="2389"/>
      <c r="P29" s="2390" t="s">
        <v>33</v>
      </c>
      <c r="Q29" s="2391"/>
      <c r="R29" s="2391"/>
      <c r="S29" s="2391"/>
      <c r="T29" s="2391"/>
      <c r="U29" s="2392"/>
      <c r="V29" s="2390"/>
      <c r="W29" s="2392"/>
      <c r="X29" s="2390"/>
      <c r="Y29" s="2392"/>
      <c r="Z29" s="2393"/>
      <c r="AA29" s="2388"/>
      <c r="AB29" s="2387"/>
      <c r="AC29" s="2387"/>
      <c r="AD29" s="2387"/>
      <c r="AE29" s="2387"/>
    </row>
    <row r="30" spans="1:31" ht="64.5" customHeight="1" x14ac:dyDescent="0.3">
      <c r="A30" s="288" t="s">
        <v>71</v>
      </c>
      <c r="B30" s="2691" t="s">
        <v>72</v>
      </c>
      <c r="C30" s="2692"/>
      <c r="D30" s="2693"/>
      <c r="E30" s="2252"/>
      <c r="F30" s="1761"/>
      <c r="G30" s="1761"/>
      <c r="H30" s="1762"/>
      <c r="I30" s="2376"/>
      <c r="J30" s="2340"/>
      <c r="K30" s="2341"/>
      <c r="L30" s="2340"/>
      <c r="M30" s="2340"/>
      <c r="N30" s="2340"/>
      <c r="O30" s="2342"/>
      <c r="P30" s="2377"/>
      <c r="Q30" s="2378"/>
      <c r="R30" s="2378"/>
      <c r="S30" s="2378"/>
      <c r="T30" s="2378"/>
      <c r="U30" s="2382"/>
      <c r="V30" s="2383"/>
      <c r="W30" s="2384"/>
      <c r="X30" s="2383"/>
      <c r="Y30" s="2382"/>
      <c r="Z30" s="2347"/>
      <c r="AA30" s="2385"/>
      <c r="AB30" s="2162"/>
      <c r="AC30" s="2162"/>
      <c r="AD30" s="2162"/>
      <c r="AE30" s="2162"/>
    </row>
    <row r="31" spans="1:31" ht="68.25" customHeight="1" x14ac:dyDescent="0.3">
      <c r="A31" s="224"/>
      <c r="B31" s="1092"/>
      <c r="C31" s="2253" t="s">
        <v>73</v>
      </c>
      <c r="D31" s="2246" t="s">
        <v>974</v>
      </c>
      <c r="E31" s="1765">
        <f>29600</f>
        <v>29600</v>
      </c>
      <c r="F31" s="1766"/>
      <c r="G31" s="1766"/>
      <c r="H31" s="1767">
        <f>SUM(E31:G31)</f>
        <v>29600</v>
      </c>
      <c r="I31" s="1768" t="s">
        <v>74</v>
      </c>
      <c r="J31" s="1769" t="s">
        <v>996</v>
      </c>
      <c r="K31" s="1770">
        <v>8</v>
      </c>
      <c r="L31" s="1769">
        <f>H31/8</f>
        <v>3700</v>
      </c>
      <c r="M31" s="1769">
        <f t="shared" ref="M31:M41" si="17">L31/1.1317</f>
        <v>3269.4176902005834</v>
      </c>
      <c r="N31" s="1769">
        <f t="shared" ref="N31:N41" si="18">K31*L31</f>
        <v>29600</v>
      </c>
      <c r="O31" s="1771">
        <f t="shared" ref="O31:O41" si="19">N31/1.1317</f>
        <v>26155.341521604667</v>
      </c>
      <c r="P31" s="1772">
        <f>13376</f>
        <v>13376</v>
      </c>
      <c r="Q31" s="1773">
        <f>6750+22000</f>
        <v>28750</v>
      </c>
      <c r="R31" s="1773">
        <v>18250</v>
      </c>
      <c r="S31" s="1773"/>
      <c r="T31" s="1774">
        <f t="shared" ref="T31:T41" si="20">SUM(P31:S31)</f>
        <v>60376</v>
      </c>
      <c r="U31" s="1720" t="s">
        <v>1041</v>
      </c>
      <c r="V31" s="1775">
        <f>P31+Q31+R31+S31</f>
        <v>60376</v>
      </c>
      <c r="W31" s="1763">
        <f>V31/1.11</f>
        <v>54392.792792792789</v>
      </c>
      <c r="X31" s="1776">
        <f t="shared" ref="X31:X41" si="21">V31-N31</f>
        <v>30776</v>
      </c>
      <c r="Y31" s="1777">
        <f t="shared" ref="Y31:Y41" si="22">W31-O31</f>
        <v>28237.451271188122</v>
      </c>
      <c r="Z31" s="1778" t="s">
        <v>996</v>
      </c>
      <c r="AA31" s="1764">
        <v>6</v>
      </c>
      <c r="AB31" s="1109">
        <f>V31/6</f>
        <v>10062.666666666666</v>
      </c>
      <c r="AC31" s="1109">
        <f t="shared" ref="AC31:AC41" si="23">AB31/1.1317</f>
        <v>8891.6379488085768</v>
      </c>
      <c r="AD31" s="1109">
        <f t="shared" ref="AD31:AD41" si="24">AA31*AB31</f>
        <v>60376</v>
      </c>
      <c r="AE31" s="1769">
        <f t="shared" ref="AE31:AE41" si="25">AD31/1.1317</f>
        <v>53349.827692851468</v>
      </c>
    </row>
    <row r="32" spans="1:31" ht="69.75" customHeight="1" x14ac:dyDescent="0.3">
      <c r="A32" s="224"/>
      <c r="B32" s="1092"/>
      <c r="C32" s="2253" t="s">
        <v>75</v>
      </c>
      <c r="D32" s="2247" t="s">
        <v>973</v>
      </c>
      <c r="E32" s="1765">
        <f>4000*8</f>
        <v>32000</v>
      </c>
      <c r="F32" s="1766"/>
      <c r="G32" s="1766"/>
      <c r="H32" s="1767">
        <f t="shared" ref="H32:H41" si="26">SUM(E32:G32)</f>
        <v>32000</v>
      </c>
      <c r="I32" s="1768" t="s">
        <v>985</v>
      </c>
      <c r="J32" s="1769" t="s">
        <v>997</v>
      </c>
      <c r="K32" s="1770">
        <v>4000</v>
      </c>
      <c r="L32" s="1769">
        <f>H32/4000</f>
        <v>8</v>
      </c>
      <c r="M32" s="1769">
        <f t="shared" si="17"/>
        <v>7.0690112220553152</v>
      </c>
      <c r="N32" s="1769">
        <f>K32*L32</f>
        <v>32000</v>
      </c>
      <c r="O32" s="1771">
        <f>N32/1.1317</f>
        <v>28276.044888221262</v>
      </c>
      <c r="P32" s="1772"/>
      <c r="Q32" s="1779"/>
      <c r="R32" s="1780">
        <f>11270</f>
        <v>11270</v>
      </c>
      <c r="S32" s="1781">
        <f>10000</f>
        <v>10000</v>
      </c>
      <c r="T32" s="1774">
        <f t="shared" si="20"/>
        <v>21270</v>
      </c>
      <c r="U32" s="1720" t="s">
        <v>1042</v>
      </c>
      <c r="V32" s="1775">
        <f>P32+Q32+R32+S32</f>
        <v>21270</v>
      </c>
      <c r="W32" s="1763">
        <f t="shared" ref="W32:W41" si="27">V32/1.11</f>
        <v>19162.16216216216</v>
      </c>
      <c r="X32" s="1776">
        <f t="shared" si="21"/>
        <v>-10730</v>
      </c>
      <c r="Y32" s="1777">
        <f t="shared" si="22"/>
        <v>-9113.8827260591024</v>
      </c>
      <c r="Z32" s="1778" t="s">
        <v>997</v>
      </c>
      <c r="AA32" s="1764">
        <v>2500</v>
      </c>
      <c r="AB32" s="1109">
        <f>V32/2500</f>
        <v>8.5079999999999991</v>
      </c>
      <c r="AC32" s="1109">
        <f t="shared" si="23"/>
        <v>7.5178934346558268</v>
      </c>
      <c r="AD32" s="1109">
        <f t="shared" si="24"/>
        <v>21269.999999999996</v>
      </c>
      <c r="AE32" s="1769">
        <f t="shared" si="25"/>
        <v>18794.733586639566</v>
      </c>
    </row>
    <row r="33" spans="1:31" ht="67.5" customHeight="1" x14ac:dyDescent="0.3">
      <c r="A33" s="224"/>
      <c r="B33" s="1092"/>
      <c r="C33" s="2253" t="s">
        <v>76</v>
      </c>
      <c r="D33" s="2247" t="s">
        <v>975</v>
      </c>
      <c r="E33" s="1782">
        <f>29600</f>
        <v>29600</v>
      </c>
      <c r="F33" s="1766"/>
      <c r="G33" s="1766"/>
      <c r="H33" s="1767">
        <f t="shared" si="26"/>
        <v>29600</v>
      </c>
      <c r="I33" s="1768" t="s">
        <v>77</v>
      </c>
      <c r="J33" s="1769" t="s">
        <v>996</v>
      </c>
      <c r="K33" s="1770">
        <v>8</v>
      </c>
      <c r="L33" s="1769">
        <f>H33/8</f>
        <v>3700</v>
      </c>
      <c r="M33" s="1769">
        <f t="shared" si="17"/>
        <v>3269.4176902005834</v>
      </c>
      <c r="N33" s="1769">
        <f t="shared" si="18"/>
        <v>29600</v>
      </c>
      <c r="O33" s="1771">
        <f t="shared" si="19"/>
        <v>26155.341521604667</v>
      </c>
      <c r="P33" s="1772"/>
      <c r="Q33" s="1779"/>
      <c r="R33" s="1781"/>
      <c r="S33" s="1781"/>
      <c r="T33" s="1774"/>
      <c r="U33" s="1720"/>
      <c r="V33" s="1775"/>
      <c r="W33" s="1763"/>
      <c r="X33" s="1776">
        <f t="shared" si="21"/>
        <v>-29600</v>
      </c>
      <c r="Y33" s="1777">
        <f t="shared" si="22"/>
        <v>-26155.341521604667</v>
      </c>
      <c r="Z33" s="1778"/>
      <c r="AA33" s="1764"/>
      <c r="AB33" s="1109"/>
      <c r="AC33" s="1109"/>
      <c r="AD33" s="1109"/>
      <c r="AE33" s="1769">
        <f t="shared" si="25"/>
        <v>0</v>
      </c>
    </row>
    <row r="34" spans="1:31" ht="52.5" customHeight="1" x14ac:dyDescent="0.3">
      <c r="A34" s="224"/>
      <c r="B34" s="1092"/>
      <c r="C34" s="2253" t="s">
        <v>78</v>
      </c>
      <c r="D34" s="2247" t="s">
        <v>976</v>
      </c>
      <c r="E34" s="1782">
        <f>3500*8</f>
        <v>28000</v>
      </c>
      <c r="F34" s="1766"/>
      <c r="G34" s="1766"/>
      <c r="H34" s="1767">
        <f t="shared" si="26"/>
        <v>28000</v>
      </c>
      <c r="I34" s="1768" t="s">
        <v>986</v>
      </c>
      <c r="J34" s="1769" t="s">
        <v>997</v>
      </c>
      <c r="K34" s="1770">
        <v>4000</v>
      </c>
      <c r="L34" s="1769">
        <f>H34/4000</f>
        <v>7</v>
      </c>
      <c r="M34" s="1769">
        <f t="shared" si="17"/>
        <v>6.1853848192984007</v>
      </c>
      <c r="N34" s="1769">
        <f t="shared" si="18"/>
        <v>28000</v>
      </c>
      <c r="O34" s="1771">
        <f>N34/1.1317</f>
        <v>24741.539277193606</v>
      </c>
      <c r="P34" s="1772"/>
      <c r="Q34" s="1779"/>
      <c r="R34" s="1781"/>
      <c r="S34" s="1781"/>
      <c r="T34" s="1774"/>
      <c r="U34" s="1720"/>
      <c r="V34" s="1775"/>
      <c r="W34" s="1763"/>
      <c r="X34" s="1776">
        <f t="shared" si="21"/>
        <v>-28000</v>
      </c>
      <c r="Y34" s="1777">
        <f t="shared" si="22"/>
        <v>-24741.539277193606</v>
      </c>
      <c r="Z34" s="1778"/>
      <c r="AA34" s="1764"/>
      <c r="AB34" s="1109"/>
      <c r="AC34" s="1109"/>
      <c r="AD34" s="1109"/>
      <c r="AE34" s="1769">
        <f t="shared" si="25"/>
        <v>0</v>
      </c>
    </row>
    <row r="35" spans="1:31" ht="46.5" customHeight="1" x14ac:dyDescent="0.3">
      <c r="A35" s="224"/>
      <c r="B35" s="1092"/>
      <c r="C35" s="2253" t="s">
        <v>80</v>
      </c>
      <c r="D35" s="2247" t="s">
        <v>81</v>
      </c>
      <c r="E35" s="1783"/>
      <c r="F35" s="1784"/>
      <c r="G35" s="1784"/>
      <c r="H35" s="1767">
        <f t="shared" si="26"/>
        <v>0</v>
      </c>
      <c r="I35" s="1768"/>
      <c r="J35" s="1769"/>
      <c r="K35" s="1770"/>
      <c r="L35" s="1769">
        <f t="shared" ref="L35:L41" si="28">H35/15</f>
        <v>0</v>
      </c>
      <c r="M35" s="1769">
        <f t="shared" si="17"/>
        <v>0</v>
      </c>
      <c r="N35" s="1769">
        <f t="shared" si="18"/>
        <v>0</v>
      </c>
      <c r="O35" s="1771">
        <f t="shared" si="19"/>
        <v>0</v>
      </c>
      <c r="P35" s="1785"/>
      <c r="Q35" s="1779"/>
      <c r="R35" s="1779"/>
      <c r="S35" s="1779"/>
      <c r="T35" s="1774"/>
      <c r="U35" s="1786"/>
      <c r="V35" s="1775"/>
      <c r="W35" s="1763"/>
      <c r="X35" s="1776">
        <f t="shared" si="21"/>
        <v>0</v>
      </c>
      <c r="Y35" s="1777">
        <f t="shared" si="22"/>
        <v>0</v>
      </c>
      <c r="Z35" s="1778"/>
      <c r="AA35" s="1764"/>
      <c r="AB35" s="1109"/>
      <c r="AC35" s="1109"/>
      <c r="AD35" s="1109"/>
      <c r="AE35" s="1769">
        <f t="shared" si="25"/>
        <v>0</v>
      </c>
    </row>
    <row r="36" spans="1:31" ht="59.25" customHeight="1" x14ac:dyDescent="0.3">
      <c r="A36" s="224"/>
      <c r="B36" s="1092"/>
      <c r="C36" s="2253" t="s">
        <v>451</v>
      </c>
      <c r="D36" s="2247" t="s">
        <v>751</v>
      </c>
      <c r="E36" s="1765">
        <f>10000</f>
        <v>10000</v>
      </c>
      <c r="F36" s="1766"/>
      <c r="G36" s="1766"/>
      <c r="H36" s="1767">
        <f t="shared" si="26"/>
        <v>10000</v>
      </c>
      <c r="I36" s="1768" t="s">
        <v>987</v>
      </c>
      <c r="J36" s="1769" t="s">
        <v>997</v>
      </c>
      <c r="K36" s="1770">
        <v>2000</v>
      </c>
      <c r="L36" s="1769">
        <f>H36/2000</f>
        <v>5</v>
      </c>
      <c r="M36" s="1769">
        <f t="shared" si="17"/>
        <v>4.4181320137845725</v>
      </c>
      <c r="N36" s="1769">
        <f t="shared" si="18"/>
        <v>10000</v>
      </c>
      <c r="O36" s="1771">
        <f>N36/1.1317</f>
        <v>8836.2640275691447</v>
      </c>
      <c r="P36" s="1787">
        <v>17700</v>
      </c>
      <c r="Q36" s="1788">
        <f>10263</f>
        <v>10263</v>
      </c>
      <c r="R36" s="1788"/>
      <c r="S36" s="1788"/>
      <c r="T36" s="1774">
        <f t="shared" si="20"/>
        <v>27963</v>
      </c>
      <c r="U36" s="1786" t="s">
        <v>1043</v>
      </c>
      <c r="V36" s="1775">
        <f t="shared" ref="V36:V41" si="29">P36+Q36+R36+S36</f>
        <v>27963</v>
      </c>
      <c r="W36" s="1763">
        <f t="shared" si="27"/>
        <v>25191.89189189189</v>
      </c>
      <c r="X36" s="1776">
        <f t="shared" si="21"/>
        <v>17963</v>
      </c>
      <c r="Y36" s="1777">
        <f t="shared" si="22"/>
        <v>16355.627864322745</v>
      </c>
      <c r="Z36" s="1778" t="s">
        <v>997</v>
      </c>
      <c r="AA36" s="1764">
        <v>13000</v>
      </c>
      <c r="AB36" s="1109">
        <f>V36/13000</f>
        <v>2.1509999999999998</v>
      </c>
      <c r="AC36" s="1109">
        <f t="shared" si="23"/>
        <v>1.9006803923301228</v>
      </c>
      <c r="AD36" s="1109">
        <f t="shared" si="24"/>
        <v>27962.999999999996</v>
      </c>
      <c r="AE36" s="1769">
        <f t="shared" si="25"/>
        <v>24708.845100291594</v>
      </c>
    </row>
    <row r="37" spans="1:31" ht="61.5" customHeight="1" x14ac:dyDescent="0.3">
      <c r="A37" s="224"/>
      <c r="B37" s="1092" t="s">
        <v>155</v>
      </c>
      <c r="C37" s="2253" t="s">
        <v>452</v>
      </c>
      <c r="D37" s="2247" t="s">
        <v>750</v>
      </c>
      <c r="E37" s="1765"/>
      <c r="F37" s="1766"/>
      <c r="G37" s="1766"/>
      <c r="H37" s="1767">
        <f t="shared" si="26"/>
        <v>0</v>
      </c>
      <c r="I37" s="1768"/>
      <c r="J37" s="1769"/>
      <c r="K37" s="1770">
        <v>0</v>
      </c>
      <c r="L37" s="1769">
        <f t="shared" si="28"/>
        <v>0</v>
      </c>
      <c r="M37" s="1769">
        <f t="shared" si="17"/>
        <v>0</v>
      </c>
      <c r="N37" s="1769">
        <f t="shared" si="18"/>
        <v>0</v>
      </c>
      <c r="O37" s="1771">
        <f t="shared" si="19"/>
        <v>0</v>
      </c>
      <c r="P37" s="1789"/>
      <c r="Q37" s="1790"/>
      <c r="R37" s="1790">
        <f>23800</f>
        <v>23800</v>
      </c>
      <c r="S37" s="1790"/>
      <c r="T37" s="1774">
        <f t="shared" si="20"/>
        <v>23800</v>
      </c>
      <c r="U37" s="1786" t="s">
        <v>915</v>
      </c>
      <c r="V37" s="1775">
        <f t="shared" si="29"/>
        <v>23800</v>
      </c>
      <c r="W37" s="1763">
        <f t="shared" si="27"/>
        <v>21441.441441441439</v>
      </c>
      <c r="X37" s="1776">
        <f t="shared" si="21"/>
        <v>23800</v>
      </c>
      <c r="Y37" s="1777">
        <f t="shared" si="22"/>
        <v>21441.441441441439</v>
      </c>
      <c r="Z37" s="1778" t="s">
        <v>997</v>
      </c>
      <c r="AA37" s="1764">
        <v>2000</v>
      </c>
      <c r="AB37" s="1109">
        <f>V37/2000</f>
        <v>11.9</v>
      </c>
      <c r="AC37" s="1109">
        <f t="shared" si="23"/>
        <v>10.515154192807282</v>
      </c>
      <c r="AD37" s="1109">
        <f t="shared" si="24"/>
        <v>23800</v>
      </c>
      <c r="AE37" s="1769">
        <f t="shared" si="25"/>
        <v>21030.308385614564</v>
      </c>
    </row>
    <row r="38" spans="1:31" ht="48" customHeight="1" x14ac:dyDescent="0.3">
      <c r="A38" s="224"/>
      <c r="B38" s="1092"/>
      <c r="C38" s="2254" t="s">
        <v>453</v>
      </c>
      <c r="D38" s="2246" t="s">
        <v>749</v>
      </c>
      <c r="E38" s="1765"/>
      <c r="F38" s="1766"/>
      <c r="G38" s="1766"/>
      <c r="H38" s="1767">
        <f t="shared" si="26"/>
        <v>0</v>
      </c>
      <c r="I38" s="1768"/>
      <c r="J38" s="1769"/>
      <c r="K38" s="1770">
        <v>0</v>
      </c>
      <c r="L38" s="1769">
        <f t="shared" si="28"/>
        <v>0</v>
      </c>
      <c r="M38" s="1769">
        <f t="shared" si="17"/>
        <v>0</v>
      </c>
      <c r="N38" s="1769">
        <f t="shared" si="18"/>
        <v>0</v>
      </c>
      <c r="O38" s="1771">
        <f t="shared" si="19"/>
        <v>0</v>
      </c>
      <c r="P38" s="1787">
        <v>52390.5</v>
      </c>
      <c r="Q38" s="1790">
        <v>0</v>
      </c>
      <c r="R38" s="1790"/>
      <c r="S38" s="1790"/>
      <c r="T38" s="1774">
        <f t="shared" si="20"/>
        <v>52390.5</v>
      </c>
      <c r="U38" s="1786" t="s">
        <v>757</v>
      </c>
      <c r="V38" s="1775">
        <f t="shared" si="29"/>
        <v>52390.5</v>
      </c>
      <c r="W38" s="1763">
        <f t="shared" si="27"/>
        <v>47198.648648648646</v>
      </c>
      <c r="X38" s="1776">
        <f t="shared" si="21"/>
        <v>52390.5</v>
      </c>
      <c r="Y38" s="1777">
        <f t="shared" si="22"/>
        <v>47198.648648648646</v>
      </c>
      <c r="Z38" s="1778" t="s">
        <v>997</v>
      </c>
      <c r="AA38" s="1764">
        <v>3</v>
      </c>
      <c r="AB38" s="1109">
        <f>V38/3</f>
        <v>17463.5</v>
      </c>
      <c r="AC38" s="1109">
        <f t="shared" si="23"/>
        <v>15431.209684545374</v>
      </c>
      <c r="AD38" s="1109">
        <f t="shared" si="24"/>
        <v>52390.5</v>
      </c>
      <c r="AE38" s="1769">
        <f t="shared" si="25"/>
        <v>46293.629053636127</v>
      </c>
    </row>
    <row r="39" spans="1:31" ht="76.5" customHeight="1" x14ac:dyDescent="0.3">
      <c r="A39" s="224"/>
      <c r="B39" s="1092"/>
      <c r="C39" s="2254" t="s">
        <v>453</v>
      </c>
      <c r="D39" s="2246" t="s">
        <v>654</v>
      </c>
      <c r="E39" s="1765"/>
      <c r="F39" s="1766"/>
      <c r="G39" s="1766"/>
      <c r="H39" s="1767">
        <f t="shared" si="26"/>
        <v>0</v>
      </c>
      <c r="I39" s="1768"/>
      <c r="J39" s="1769"/>
      <c r="K39" s="1770">
        <v>0</v>
      </c>
      <c r="L39" s="1769">
        <f t="shared" si="28"/>
        <v>0</v>
      </c>
      <c r="M39" s="1769">
        <f t="shared" si="17"/>
        <v>0</v>
      </c>
      <c r="N39" s="1769">
        <f t="shared" si="18"/>
        <v>0</v>
      </c>
      <c r="O39" s="1771">
        <f t="shared" si="19"/>
        <v>0</v>
      </c>
      <c r="P39" s="1787">
        <v>0</v>
      </c>
      <c r="Q39" s="1790"/>
      <c r="R39" s="1788"/>
      <c r="S39" s="1790">
        <v>54600</v>
      </c>
      <c r="T39" s="1791">
        <f t="shared" ref="T39" si="30">SUM(P39:S39)</f>
        <v>54600</v>
      </c>
      <c r="U39" s="1786" t="s">
        <v>895</v>
      </c>
      <c r="V39" s="1775">
        <f t="shared" si="29"/>
        <v>54600</v>
      </c>
      <c r="W39" s="1763">
        <f t="shared" si="27"/>
        <v>49189.189189189186</v>
      </c>
      <c r="X39" s="1776">
        <f t="shared" si="21"/>
        <v>54600</v>
      </c>
      <c r="Y39" s="1777">
        <f t="shared" si="22"/>
        <v>49189.189189189186</v>
      </c>
      <c r="Z39" s="1778" t="s">
        <v>997</v>
      </c>
      <c r="AA39" s="1764">
        <v>26</v>
      </c>
      <c r="AB39" s="1109">
        <f>V39/26</f>
        <v>2100</v>
      </c>
      <c r="AC39" s="1109">
        <f t="shared" si="23"/>
        <v>1855.6154457895202</v>
      </c>
      <c r="AD39" s="1109">
        <f t="shared" si="24"/>
        <v>54600</v>
      </c>
      <c r="AE39" s="1769">
        <f t="shared" si="25"/>
        <v>48246.001590527529</v>
      </c>
    </row>
    <row r="40" spans="1:31" ht="58.5" customHeight="1" x14ac:dyDescent="0.3">
      <c r="A40" s="224"/>
      <c r="B40" s="1303"/>
      <c r="C40" s="2254" t="s">
        <v>455</v>
      </c>
      <c r="D40" s="2246" t="s">
        <v>456</v>
      </c>
      <c r="E40" s="1765"/>
      <c r="F40" s="1766"/>
      <c r="G40" s="1766"/>
      <c r="H40" s="1767">
        <f t="shared" si="26"/>
        <v>0</v>
      </c>
      <c r="I40" s="1768"/>
      <c r="J40" s="1769"/>
      <c r="K40" s="1770">
        <v>0</v>
      </c>
      <c r="L40" s="1769">
        <f t="shared" si="28"/>
        <v>0</v>
      </c>
      <c r="M40" s="1769">
        <f t="shared" si="17"/>
        <v>0</v>
      </c>
      <c r="N40" s="1769">
        <f t="shared" si="18"/>
        <v>0</v>
      </c>
      <c r="O40" s="1771">
        <f t="shared" si="19"/>
        <v>0</v>
      </c>
      <c r="P40" s="1509">
        <v>8073</v>
      </c>
      <c r="Q40" s="1790"/>
      <c r="R40" s="1790"/>
      <c r="S40" s="1790"/>
      <c r="T40" s="1774">
        <f t="shared" si="20"/>
        <v>8073</v>
      </c>
      <c r="U40" s="1786" t="s">
        <v>459</v>
      </c>
      <c r="V40" s="1775">
        <f t="shared" si="29"/>
        <v>8073</v>
      </c>
      <c r="W40" s="1763">
        <f t="shared" si="27"/>
        <v>7272.9729729729725</v>
      </c>
      <c r="X40" s="1776">
        <f t="shared" si="21"/>
        <v>8073</v>
      </c>
      <c r="Y40" s="1777">
        <f t="shared" si="22"/>
        <v>7272.9729729729725</v>
      </c>
      <c r="Z40" s="1778" t="s">
        <v>1015</v>
      </c>
      <c r="AA40" s="1764">
        <v>5</v>
      </c>
      <c r="AB40" s="1109">
        <f>V40/5</f>
        <v>1614.6</v>
      </c>
      <c r="AC40" s="1109">
        <f t="shared" si="23"/>
        <v>1426.703189891314</v>
      </c>
      <c r="AD40" s="1109">
        <f t="shared" si="24"/>
        <v>8073</v>
      </c>
      <c r="AE40" s="1769">
        <f t="shared" si="25"/>
        <v>7133.5159494565705</v>
      </c>
    </row>
    <row r="41" spans="1:31" ht="52.5" customHeight="1" thickBot="1" x14ac:dyDescent="0.35">
      <c r="A41" s="224"/>
      <c r="B41" s="1092"/>
      <c r="C41" s="2254" t="s">
        <v>457</v>
      </c>
      <c r="D41" s="2246" t="s">
        <v>458</v>
      </c>
      <c r="E41" s="1765"/>
      <c r="F41" s="1766"/>
      <c r="G41" s="1766"/>
      <c r="H41" s="1767">
        <f t="shared" si="26"/>
        <v>0</v>
      </c>
      <c r="I41" s="1768"/>
      <c r="J41" s="1769"/>
      <c r="K41" s="1770">
        <v>0</v>
      </c>
      <c r="L41" s="1769">
        <f t="shared" si="28"/>
        <v>0</v>
      </c>
      <c r="M41" s="1769">
        <f t="shared" si="17"/>
        <v>0</v>
      </c>
      <c r="N41" s="1769">
        <f t="shared" si="18"/>
        <v>0</v>
      </c>
      <c r="O41" s="1771">
        <f t="shared" si="19"/>
        <v>0</v>
      </c>
      <c r="P41" s="1792">
        <v>7346.5</v>
      </c>
      <c r="Q41" s="1790"/>
      <c r="R41" s="1790"/>
      <c r="S41" s="1790"/>
      <c r="T41" s="1774">
        <f t="shared" si="20"/>
        <v>7346.5</v>
      </c>
      <c r="U41" s="1786" t="s">
        <v>460</v>
      </c>
      <c r="V41" s="1775">
        <f t="shared" si="29"/>
        <v>7346.5</v>
      </c>
      <c r="W41" s="1763">
        <f t="shared" si="27"/>
        <v>6618.468468468468</v>
      </c>
      <c r="X41" s="1776">
        <f t="shared" si="21"/>
        <v>7346.5</v>
      </c>
      <c r="Y41" s="1777">
        <f t="shared" si="22"/>
        <v>6618.468468468468</v>
      </c>
      <c r="Z41" s="1778" t="s">
        <v>1015</v>
      </c>
      <c r="AA41" s="1764">
        <v>5</v>
      </c>
      <c r="AB41" s="1109">
        <f>V41/5</f>
        <v>1469.3</v>
      </c>
      <c r="AC41" s="1109">
        <f t="shared" si="23"/>
        <v>1298.3122735707343</v>
      </c>
      <c r="AD41" s="1109">
        <f t="shared" si="24"/>
        <v>7346.5</v>
      </c>
      <c r="AE41" s="1769">
        <f t="shared" si="25"/>
        <v>6491.561367853672</v>
      </c>
    </row>
    <row r="42" spans="1:31" ht="28.5" customHeight="1" thickBot="1" x14ac:dyDescent="0.35">
      <c r="A42" s="224"/>
      <c r="B42" s="1337"/>
      <c r="C42" s="2255"/>
      <c r="D42" s="2256"/>
      <c r="E42" s="1793"/>
      <c r="F42" s="1794"/>
      <c r="G42" s="1794"/>
      <c r="H42" s="1795"/>
      <c r="I42" s="1768"/>
      <c r="J42" s="1796"/>
      <c r="K42" s="1797"/>
      <c r="L42" s="1796"/>
      <c r="M42" s="1796"/>
      <c r="N42" s="1796"/>
      <c r="O42" s="1798"/>
      <c r="P42" s="1799"/>
      <c r="Q42" s="1774"/>
      <c r="R42" s="1774"/>
      <c r="S42" s="1774"/>
      <c r="T42" s="1774"/>
      <c r="U42" s="1800"/>
      <c r="V42" s="1801"/>
      <c r="W42" s="1802"/>
      <c r="X42" s="1801"/>
      <c r="Y42" s="1802"/>
      <c r="Z42" s="1803"/>
      <c r="AA42" s="1804"/>
      <c r="AB42" s="1805"/>
      <c r="AC42" s="1805"/>
      <c r="AD42" s="1805"/>
      <c r="AE42" s="1805"/>
    </row>
    <row r="43" spans="1:31" ht="34.5" customHeight="1" thickBot="1" x14ac:dyDescent="0.35">
      <c r="A43" s="284"/>
      <c r="B43" s="1806" t="s">
        <v>45</v>
      </c>
      <c r="C43" s="2034"/>
      <c r="D43" s="2257"/>
      <c r="E43" s="1808">
        <f>SUM(E31:E41)</f>
        <v>129200</v>
      </c>
      <c r="F43" s="1807">
        <f t="shared" ref="F43:H43" si="31">SUM(F31:F41)</f>
        <v>0</v>
      </c>
      <c r="G43" s="1807">
        <f t="shared" si="31"/>
        <v>0</v>
      </c>
      <c r="H43" s="1809">
        <f t="shared" si="31"/>
        <v>129200</v>
      </c>
      <c r="I43" s="1743"/>
      <c r="J43" s="1743"/>
      <c r="K43" s="1744"/>
      <c r="L43" s="1743"/>
      <c r="M43" s="1743"/>
      <c r="N43" s="1743">
        <f t="shared" ref="N43:T43" si="32">SUM(N31:N42)</f>
        <v>129200</v>
      </c>
      <c r="O43" s="1743">
        <f>SUM(O31:O42)-0.53</f>
        <v>114164.00123619335</v>
      </c>
      <c r="P43" s="1746">
        <f t="shared" si="32"/>
        <v>98886</v>
      </c>
      <c r="Q43" s="1747">
        <f t="shared" si="32"/>
        <v>39013</v>
      </c>
      <c r="R43" s="1747">
        <f t="shared" si="32"/>
        <v>53320</v>
      </c>
      <c r="S43" s="1747">
        <f t="shared" si="32"/>
        <v>64600</v>
      </c>
      <c r="T43" s="1747">
        <f t="shared" si="32"/>
        <v>255819</v>
      </c>
      <c r="U43" s="1748"/>
      <c r="V43" s="1746">
        <f>SUM(V31:V42)</f>
        <v>255819</v>
      </c>
      <c r="W43" s="1748">
        <f>SUM(W31:W42)</f>
        <v>230467.56756756752</v>
      </c>
      <c r="X43" s="1746">
        <f>SUM(X31:X42)</f>
        <v>126619</v>
      </c>
      <c r="Y43" s="1748">
        <f>SUM(Y31:Y42)</f>
        <v>116303.0363313742</v>
      </c>
      <c r="Z43" s="1749"/>
      <c r="AA43" s="1744"/>
      <c r="AB43" s="1743"/>
      <c r="AC43" s="1743">
        <f>SUM(AC31:AC42)</f>
        <v>28923.412270625315</v>
      </c>
      <c r="AD43" s="1743">
        <f>SUM(AD31:AD42)</f>
        <v>255819</v>
      </c>
      <c r="AE43" s="1743">
        <f>SUM(AE31:AE42)</f>
        <v>226048.4227268711</v>
      </c>
    </row>
    <row r="44" spans="1:31" ht="34.5" customHeight="1" thickBot="1" x14ac:dyDescent="0.35">
      <c r="A44" s="284"/>
      <c r="B44" s="1305"/>
      <c r="C44" s="1306"/>
      <c r="D44" s="1307" t="s">
        <v>1030</v>
      </c>
      <c r="E44" s="1308"/>
      <c r="F44" s="1306"/>
      <c r="G44" s="1306"/>
      <c r="H44" s="1309"/>
      <c r="I44" s="1310"/>
      <c r="J44" s="1311"/>
      <c r="K44" s="1632"/>
      <c r="L44" s="1311"/>
      <c r="M44" s="1311"/>
      <c r="N44" s="1311">
        <f>N28+N43</f>
        <v>345510</v>
      </c>
      <c r="O44" s="1377">
        <f>O28+O43</f>
        <v>305300.99841654149</v>
      </c>
      <c r="P44" s="1419"/>
      <c r="Q44" s="1312"/>
      <c r="R44" s="1312"/>
      <c r="S44" s="1312"/>
      <c r="T44" s="1312">
        <f>T28+T43</f>
        <v>899610.64</v>
      </c>
      <c r="U44" s="1420"/>
      <c r="V44" s="1419">
        <f>V28+V43</f>
        <v>899610.64</v>
      </c>
      <c r="W44" s="1420">
        <f>W28+W43</f>
        <v>810460.03603603598</v>
      </c>
      <c r="X44" s="1419">
        <f>X28+X43</f>
        <v>554100.64</v>
      </c>
      <c r="Y44" s="1420">
        <f>Y28+Y43</f>
        <v>505158.27761949453</v>
      </c>
      <c r="Z44" s="1388"/>
      <c r="AA44" s="1632"/>
      <c r="AB44" s="1311"/>
      <c r="AC44" s="1311"/>
      <c r="AD44" s="1311">
        <f>AD28+AD43</f>
        <v>899610.64</v>
      </c>
      <c r="AE44" s="1311">
        <f>AE28+AE43</f>
        <v>794919.71370504552</v>
      </c>
    </row>
    <row r="45" spans="1:31" ht="20.25" x14ac:dyDescent="0.3">
      <c r="A45" s="224"/>
      <c r="B45" s="1810"/>
      <c r="C45" s="1616"/>
      <c r="D45" s="1610"/>
      <c r="E45" s="1752"/>
      <c r="F45" s="1753"/>
      <c r="G45" s="1753"/>
      <c r="H45" s="1754"/>
      <c r="I45" s="1755"/>
      <c r="J45" s="1755"/>
      <c r="K45" s="1756"/>
      <c r="L45" s="1755"/>
      <c r="M45" s="1755"/>
      <c r="N45" s="1755"/>
      <c r="O45" s="1757"/>
      <c r="P45" s="1698"/>
      <c r="Q45" s="1699"/>
      <c r="R45" s="1699"/>
      <c r="S45" s="1699"/>
      <c r="T45" s="1699"/>
      <c r="U45" s="1811"/>
      <c r="V45" s="1812"/>
      <c r="W45" s="1813"/>
      <c r="X45" s="1812"/>
      <c r="Y45" s="1811"/>
      <c r="Z45" s="1814"/>
      <c r="AA45" s="1815"/>
      <c r="AB45" s="1816"/>
      <c r="AC45" s="1816"/>
      <c r="AD45" s="1816"/>
      <c r="AE45" s="1816"/>
    </row>
    <row r="46" spans="1:31" ht="31.5" customHeight="1" x14ac:dyDescent="0.3">
      <c r="A46" s="236">
        <v>2</v>
      </c>
      <c r="B46" s="1817" t="s">
        <v>82</v>
      </c>
      <c r="C46" s="1818"/>
      <c r="D46" s="1819"/>
      <c r="E46" s="1820"/>
      <c r="F46" s="1821"/>
      <c r="G46" s="1821"/>
      <c r="H46" s="1822"/>
      <c r="I46" s="1823"/>
      <c r="J46" s="1824"/>
      <c r="K46" s="1825"/>
      <c r="L46" s="1824"/>
      <c r="M46" s="1824"/>
      <c r="N46" s="1824"/>
      <c r="O46" s="1468"/>
      <c r="P46" s="1512"/>
      <c r="Q46" s="831"/>
      <c r="R46" s="1791"/>
      <c r="S46" s="1791"/>
      <c r="T46" s="1791"/>
      <c r="U46" s="1826"/>
      <c r="V46" s="1827"/>
      <c r="W46" s="1828"/>
      <c r="X46" s="1827"/>
      <c r="Y46" s="1826"/>
      <c r="Z46" s="1389"/>
      <c r="AA46" s="1825"/>
      <c r="AB46" s="1824"/>
      <c r="AC46" s="1824"/>
      <c r="AD46" s="1824"/>
      <c r="AE46" s="1824"/>
    </row>
    <row r="47" spans="1:31" ht="69.75" customHeight="1" x14ac:dyDescent="0.3">
      <c r="A47" s="299">
        <v>2.1</v>
      </c>
      <c r="B47" s="2694" t="s">
        <v>83</v>
      </c>
      <c r="C47" s="2695"/>
      <c r="D47" s="2695"/>
      <c r="E47" s="1829"/>
      <c r="F47" s="1830"/>
      <c r="G47" s="1830"/>
      <c r="H47" s="1831"/>
      <c r="I47" s="1824"/>
      <c r="J47" s="1824"/>
      <c r="K47" s="1825"/>
      <c r="L47" s="1824"/>
      <c r="M47" s="1824"/>
      <c r="N47" s="1824"/>
      <c r="O47" s="1468"/>
      <c r="P47" s="1698"/>
      <c r="Q47" s="1699"/>
      <c r="R47" s="1699"/>
      <c r="S47" s="1699"/>
      <c r="T47" s="1699"/>
      <c r="U47" s="832"/>
      <c r="V47" s="1512"/>
      <c r="W47" s="879"/>
      <c r="X47" s="1512"/>
      <c r="Y47" s="832"/>
      <c r="Z47" s="1389"/>
      <c r="AA47" s="1825"/>
      <c r="AB47" s="1824"/>
      <c r="AC47" s="1824"/>
      <c r="AD47" s="1824"/>
      <c r="AE47" s="1824"/>
    </row>
    <row r="48" spans="1:31" ht="150" customHeight="1" x14ac:dyDescent="0.3">
      <c r="A48" s="224"/>
      <c r="B48" s="1704"/>
      <c r="C48" s="2258" t="s">
        <v>85</v>
      </c>
      <c r="D48" s="2262" t="s">
        <v>587</v>
      </c>
      <c r="E48" s="1765">
        <f>17070</f>
        <v>17070</v>
      </c>
      <c r="F48" s="1766"/>
      <c r="G48" s="1766"/>
      <c r="H48" s="1767">
        <f>SUM(E48:G48)</f>
        <v>17070</v>
      </c>
      <c r="I48" s="1768" t="s">
        <v>84</v>
      </c>
      <c r="J48" s="1769" t="s">
        <v>993</v>
      </c>
      <c r="K48" s="1770">
        <v>30</v>
      </c>
      <c r="L48" s="1769">
        <f>H48/30</f>
        <v>569</v>
      </c>
      <c r="M48" s="1769">
        <f t="shared" ref="M48:M62" si="33">L48/1.1317</f>
        <v>502.78342316868429</v>
      </c>
      <c r="N48" s="1769">
        <f t="shared" ref="N48:N62" si="34">K48*L48</f>
        <v>17070</v>
      </c>
      <c r="O48" s="1771">
        <f t="shared" ref="O48:O62" si="35">N48/1.1317</f>
        <v>15083.50269506053</v>
      </c>
      <c r="P48" s="1785">
        <f>18932</f>
        <v>18932</v>
      </c>
      <c r="Q48" s="1779"/>
      <c r="R48" s="1779"/>
      <c r="S48" s="1779"/>
      <c r="T48" s="1791">
        <f t="shared" ref="T48:T62" si="36">SUM(P48:S48)</f>
        <v>18932</v>
      </c>
      <c r="U48" s="1786" t="s">
        <v>588</v>
      </c>
      <c r="V48" s="1776">
        <f t="shared" ref="V48:V62" si="37">P48+Q48+R48+S48</f>
        <v>18932</v>
      </c>
      <c r="W48" s="1777">
        <f>V48/1.11</f>
        <v>17055.855855855854</v>
      </c>
      <c r="X48" s="1776">
        <f t="shared" ref="X48:X62" si="38">V48-N48</f>
        <v>1862</v>
      </c>
      <c r="Y48" s="1777">
        <f t="shared" ref="Y48:Y62" si="39">W48-O48</f>
        <v>1972.3531607953246</v>
      </c>
      <c r="Z48" s="1778" t="s">
        <v>993</v>
      </c>
      <c r="AA48" s="1770">
        <v>1</v>
      </c>
      <c r="AB48" s="1769">
        <v>18932</v>
      </c>
      <c r="AC48" s="1769">
        <f t="shared" ref="AC48:AC62" si="40">AB48/1.1317</f>
        <v>16728.815056993903</v>
      </c>
      <c r="AD48" s="1769">
        <f t="shared" ref="AD48:AD62" si="41">AA48*AB48</f>
        <v>18932</v>
      </c>
      <c r="AE48" s="1769">
        <f t="shared" ref="AE48:AE62" si="42">AD48/1.1317</f>
        <v>16728.815056993903</v>
      </c>
    </row>
    <row r="49" spans="1:31" ht="97.5" customHeight="1" x14ac:dyDescent="0.3">
      <c r="A49" s="224"/>
      <c r="B49" s="2234"/>
      <c r="C49" s="2259" t="s">
        <v>87</v>
      </c>
      <c r="D49" s="2263" t="s">
        <v>886</v>
      </c>
      <c r="E49" s="1765">
        <v>76875</v>
      </c>
      <c r="F49" s="1766"/>
      <c r="G49" s="1766"/>
      <c r="H49" s="1767">
        <f t="shared" ref="H49:H62" si="43">SUM(E49:G49)</f>
        <v>76875</v>
      </c>
      <c r="I49" s="1768" t="s">
        <v>88</v>
      </c>
      <c r="J49" s="1769" t="s">
        <v>994</v>
      </c>
      <c r="K49" s="1770">
        <v>2</v>
      </c>
      <c r="L49" s="1769">
        <f>H49/2</f>
        <v>38437.5</v>
      </c>
      <c r="M49" s="1769">
        <f t="shared" si="33"/>
        <v>33964.389855968897</v>
      </c>
      <c r="N49" s="1769">
        <f t="shared" si="34"/>
        <v>76875</v>
      </c>
      <c r="O49" s="1771">
        <f t="shared" si="35"/>
        <v>67928.779711937794</v>
      </c>
      <c r="P49" s="1785">
        <f>80153</f>
        <v>80153</v>
      </c>
      <c r="Q49" s="1779">
        <f>207167</f>
        <v>207167</v>
      </c>
      <c r="R49" s="1779">
        <f>49600</f>
        <v>49600</v>
      </c>
      <c r="S49" s="1779"/>
      <c r="T49" s="1791">
        <f t="shared" si="36"/>
        <v>336920</v>
      </c>
      <c r="U49" s="1786" t="s">
        <v>916</v>
      </c>
      <c r="V49" s="1776">
        <f t="shared" si="37"/>
        <v>336920</v>
      </c>
      <c r="W49" s="1777">
        <f t="shared" ref="W49:W62" si="44">V49/1.11</f>
        <v>303531.53153153148</v>
      </c>
      <c r="X49" s="1776">
        <f t="shared" si="38"/>
        <v>260045</v>
      </c>
      <c r="Y49" s="1777">
        <f t="shared" si="39"/>
        <v>235602.75181959369</v>
      </c>
      <c r="Z49" s="1778" t="s">
        <v>994</v>
      </c>
      <c r="AA49" s="1770">
        <v>14</v>
      </c>
      <c r="AB49" s="1769">
        <f>V49/14</f>
        <v>24065.714285714286</v>
      </c>
      <c r="AC49" s="1769">
        <f t="shared" si="40"/>
        <v>21265.100544061403</v>
      </c>
      <c r="AD49" s="1769">
        <f t="shared" si="41"/>
        <v>336920</v>
      </c>
      <c r="AE49" s="1769">
        <f t="shared" si="42"/>
        <v>297711.40761685959</v>
      </c>
    </row>
    <row r="50" spans="1:31" ht="75.75" customHeight="1" x14ac:dyDescent="0.3">
      <c r="A50" s="224"/>
      <c r="B50" s="1092"/>
      <c r="C50" s="2241" t="s">
        <v>89</v>
      </c>
      <c r="D50" s="2247" t="s">
        <v>870</v>
      </c>
      <c r="E50" s="1765">
        <v>8400</v>
      </c>
      <c r="F50" s="1766">
        <v>11200</v>
      </c>
      <c r="G50" s="1766"/>
      <c r="H50" s="1767">
        <f t="shared" si="43"/>
        <v>19600</v>
      </c>
      <c r="I50" s="1832" t="s">
        <v>90</v>
      </c>
      <c r="J50" s="1769"/>
      <c r="K50" s="1770">
        <v>2800</v>
      </c>
      <c r="L50" s="1769">
        <f>H50/2800</f>
        <v>7</v>
      </c>
      <c r="M50" s="1769">
        <f t="shared" si="33"/>
        <v>6.1853848192984007</v>
      </c>
      <c r="N50" s="1769">
        <f t="shared" si="34"/>
        <v>19600</v>
      </c>
      <c r="O50" s="1771">
        <f t="shared" si="35"/>
        <v>17319.077494035522</v>
      </c>
      <c r="P50" s="1785"/>
      <c r="Q50" s="1779"/>
      <c r="R50" s="1779">
        <f>3888</f>
        <v>3888</v>
      </c>
      <c r="S50" s="1779">
        <f>2000</f>
        <v>2000</v>
      </c>
      <c r="T50" s="1791">
        <f t="shared" si="36"/>
        <v>5888</v>
      </c>
      <c r="U50" s="1786" t="s">
        <v>887</v>
      </c>
      <c r="V50" s="1776">
        <f t="shared" si="37"/>
        <v>5888</v>
      </c>
      <c r="W50" s="1777">
        <f t="shared" si="44"/>
        <v>5304.5045045045044</v>
      </c>
      <c r="X50" s="1776">
        <f t="shared" si="38"/>
        <v>-13712</v>
      </c>
      <c r="Y50" s="1777">
        <f t="shared" si="39"/>
        <v>-12014.572989531018</v>
      </c>
      <c r="Z50" s="1778" t="s">
        <v>1035</v>
      </c>
      <c r="AA50" s="1770">
        <v>400</v>
      </c>
      <c r="AB50" s="1769">
        <f>V50/400</f>
        <v>14.72</v>
      </c>
      <c r="AC50" s="1769">
        <f t="shared" si="40"/>
        <v>13.006980648581781</v>
      </c>
      <c r="AD50" s="1769">
        <f t="shared" si="41"/>
        <v>5888</v>
      </c>
      <c r="AE50" s="1769">
        <f t="shared" si="42"/>
        <v>5202.7922594327119</v>
      </c>
    </row>
    <row r="51" spans="1:31" ht="66.75" customHeight="1" x14ac:dyDescent="0.3">
      <c r="A51" s="224"/>
      <c r="B51" s="1092"/>
      <c r="C51" s="2244" t="s">
        <v>91</v>
      </c>
      <c r="D51" s="2246" t="s">
        <v>901</v>
      </c>
      <c r="E51" s="1765">
        <f>2400</f>
        <v>2400</v>
      </c>
      <c r="F51" s="1766">
        <f>2400</f>
        <v>2400</v>
      </c>
      <c r="G51" s="1766">
        <f>2400</f>
        <v>2400</v>
      </c>
      <c r="H51" s="1767">
        <f t="shared" si="43"/>
        <v>7200</v>
      </c>
      <c r="I51" s="1768" t="s">
        <v>92</v>
      </c>
      <c r="J51" s="1769"/>
      <c r="K51" s="1770">
        <v>3</v>
      </c>
      <c r="L51" s="1769">
        <f>H51/3</f>
        <v>2400</v>
      </c>
      <c r="M51" s="1769">
        <f t="shared" si="33"/>
        <v>2120.7033666165948</v>
      </c>
      <c r="N51" s="1769">
        <f t="shared" si="34"/>
        <v>7200</v>
      </c>
      <c r="O51" s="1771">
        <f t="shared" si="35"/>
        <v>6362.1100998497841</v>
      </c>
      <c r="P51" s="1785"/>
      <c r="Q51" s="1779">
        <f>652</f>
        <v>652</v>
      </c>
      <c r="R51" s="1779"/>
      <c r="S51" s="1779"/>
      <c r="T51" s="1791">
        <f t="shared" si="36"/>
        <v>652</v>
      </c>
      <c r="U51" s="1786" t="s">
        <v>888</v>
      </c>
      <c r="V51" s="1776">
        <f t="shared" si="37"/>
        <v>652</v>
      </c>
      <c r="W51" s="1777">
        <f t="shared" si="44"/>
        <v>587.38738738738732</v>
      </c>
      <c r="X51" s="1776">
        <f t="shared" si="38"/>
        <v>-6548</v>
      </c>
      <c r="Y51" s="1777">
        <f t="shared" si="39"/>
        <v>-5774.7227124623969</v>
      </c>
      <c r="Z51" s="1778" t="s">
        <v>1000</v>
      </c>
      <c r="AA51" s="1770">
        <v>1</v>
      </c>
      <c r="AB51" s="1769">
        <f>V51/1</f>
        <v>652</v>
      </c>
      <c r="AC51" s="1769">
        <f t="shared" si="40"/>
        <v>576.12441459750823</v>
      </c>
      <c r="AD51" s="1769">
        <f t="shared" si="41"/>
        <v>652</v>
      </c>
      <c r="AE51" s="1769">
        <f t="shared" si="42"/>
        <v>576.12441459750823</v>
      </c>
    </row>
    <row r="52" spans="1:31" ht="79.5" customHeight="1" x14ac:dyDescent="0.3">
      <c r="A52" s="224"/>
      <c r="B52" s="1092"/>
      <c r="C52" s="2244" t="s">
        <v>462</v>
      </c>
      <c r="D52" s="2246" t="s">
        <v>655</v>
      </c>
      <c r="E52" s="1765"/>
      <c r="F52" s="1766"/>
      <c r="G52" s="1766"/>
      <c r="H52" s="1767">
        <f t="shared" si="43"/>
        <v>0</v>
      </c>
      <c r="I52" s="1768"/>
      <c r="J52" s="1769"/>
      <c r="K52" s="1770">
        <v>0</v>
      </c>
      <c r="L52" s="1769">
        <f t="shared" ref="L52:L62" si="45">H52/15</f>
        <v>0</v>
      </c>
      <c r="M52" s="1769">
        <f t="shared" si="33"/>
        <v>0</v>
      </c>
      <c r="N52" s="1769">
        <f t="shared" si="34"/>
        <v>0</v>
      </c>
      <c r="O52" s="1771">
        <f t="shared" si="35"/>
        <v>0</v>
      </c>
      <c r="P52" s="1785"/>
      <c r="Q52" s="1779"/>
      <c r="R52" s="1779"/>
      <c r="S52" s="1779">
        <f>63000</f>
        <v>63000</v>
      </c>
      <c r="T52" s="1791">
        <f>SUM(P52:S52)</f>
        <v>63000</v>
      </c>
      <c r="U52" s="1786" t="s">
        <v>872</v>
      </c>
      <c r="V52" s="1776">
        <f t="shared" si="37"/>
        <v>63000</v>
      </c>
      <c r="W52" s="1777">
        <f>V52/1.11</f>
        <v>56756.756756756753</v>
      </c>
      <c r="X52" s="1776">
        <f t="shared" si="38"/>
        <v>63000</v>
      </c>
      <c r="Y52" s="1777">
        <f t="shared" si="39"/>
        <v>56756.756756756753</v>
      </c>
      <c r="Z52" s="1778" t="s">
        <v>1036</v>
      </c>
      <c r="AA52" s="1770">
        <v>60</v>
      </c>
      <c r="AB52" s="1769">
        <f>V52/60</f>
        <v>1050</v>
      </c>
      <c r="AC52" s="1769">
        <f>AB52/1.1317</f>
        <v>927.8077228947601</v>
      </c>
      <c r="AD52" s="1769">
        <f>AA52*AB52</f>
        <v>63000</v>
      </c>
      <c r="AE52" s="1769">
        <f t="shared" si="42"/>
        <v>55668.463373685612</v>
      </c>
    </row>
    <row r="53" spans="1:31" ht="70.5" customHeight="1" x14ac:dyDescent="0.3">
      <c r="A53" s="224"/>
      <c r="B53" s="1092"/>
      <c r="C53" s="2244" t="s">
        <v>977</v>
      </c>
      <c r="D53" s="2246" t="s">
        <v>463</v>
      </c>
      <c r="E53" s="1765"/>
      <c r="F53" s="1766"/>
      <c r="G53" s="1766"/>
      <c r="H53" s="1767">
        <f t="shared" si="43"/>
        <v>0</v>
      </c>
      <c r="I53" s="1768"/>
      <c r="J53" s="1769"/>
      <c r="K53" s="1770">
        <v>0</v>
      </c>
      <c r="L53" s="1769">
        <f t="shared" si="45"/>
        <v>0</v>
      </c>
      <c r="M53" s="1769">
        <f t="shared" si="33"/>
        <v>0</v>
      </c>
      <c r="N53" s="1769">
        <f t="shared" si="34"/>
        <v>0</v>
      </c>
      <c r="O53" s="1771">
        <f t="shared" si="35"/>
        <v>0</v>
      </c>
      <c r="P53" s="1785">
        <v>0</v>
      </c>
      <c r="Q53" s="1779">
        <v>0</v>
      </c>
      <c r="R53" s="1779"/>
      <c r="S53" s="1779"/>
      <c r="T53" s="1791">
        <f t="shared" si="36"/>
        <v>0</v>
      </c>
      <c r="U53" s="1786" t="s">
        <v>894</v>
      </c>
      <c r="V53" s="1776">
        <f t="shared" si="37"/>
        <v>0</v>
      </c>
      <c r="W53" s="1777">
        <f t="shared" si="44"/>
        <v>0</v>
      </c>
      <c r="X53" s="1776">
        <f t="shared" si="38"/>
        <v>0</v>
      </c>
      <c r="Y53" s="1777">
        <f t="shared" si="39"/>
        <v>0</v>
      </c>
      <c r="Z53" s="1778"/>
      <c r="AA53" s="1770">
        <v>0</v>
      </c>
      <c r="AB53" s="1769">
        <f>V53/25</f>
        <v>0</v>
      </c>
      <c r="AC53" s="1769">
        <f t="shared" si="40"/>
        <v>0</v>
      </c>
      <c r="AD53" s="1769">
        <f t="shared" si="41"/>
        <v>0</v>
      </c>
      <c r="AE53" s="1769">
        <f t="shared" si="42"/>
        <v>0</v>
      </c>
    </row>
    <row r="54" spans="1:31" ht="108" customHeight="1" x14ac:dyDescent="0.3">
      <c r="A54" s="224"/>
      <c r="B54" s="1092"/>
      <c r="C54" s="2244" t="s">
        <v>93</v>
      </c>
      <c r="D54" s="2246" t="s">
        <v>788</v>
      </c>
      <c r="E54" s="1765">
        <v>29475</v>
      </c>
      <c r="F54" s="1766">
        <v>24662.5</v>
      </c>
      <c r="G54" s="1766"/>
      <c r="H54" s="1767">
        <f t="shared" si="43"/>
        <v>54137.5</v>
      </c>
      <c r="I54" s="1768" t="s">
        <v>330</v>
      </c>
      <c r="J54" s="1769" t="s">
        <v>993</v>
      </c>
      <c r="K54" s="1770">
        <v>76</v>
      </c>
      <c r="L54" s="1769">
        <f>H54/76</f>
        <v>712.33552631578948</v>
      </c>
      <c r="M54" s="1769">
        <f t="shared" si="33"/>
        <v>629.43847867437444</v>
      </c>
      <c r="N54" s="1769">
        <f t="shared" si="34"/>
        <v>54137.5</v>
      </c>
      <c r="O54" s="1771">
        <f t="shared" si="35"/>
        <v>47837.324379252452</v>
      </c>
      <c r="P54" s="1785">
        <f>10106</f>
        <v>10106</v>
      </c>
      <c r="Q54" s="1779">
        <f>7532</f>
        <v>7532</v>
      </c>
      <c r="R54" s="1779"/>
      <c r="S54" s="1779"/>
      <c r="T54" s="1791">
        <f t="shared" si="36"/>
        <v>17638</v>
      </c>
      <c r="U54" s="1786" t="s">
        <v>1044</v>
      </c>
      <c r="V54" s="1776">
        <f t="shared" si="37"/>
        <v>17638</v>
      </c>
      <c r="W54" s="1777">
        <f t="shared" si="44"/>
        <v>15890.090090090089</v>
      </c>
      <c r="X54" s="1776">
        <f t="shared" si="38"/>
        <v>-36499.5</v>
      </c>
      <c r="Y54" s="1777">
        <f t="shared" si="39"/>
        <v>-31947.234289162363</v>
      </c>
      <c r="Z54" s="1778" t="s">
        <v>993</v>
      </c>
      <c r="AA54" s="1770">
        <v>250</v>
      </c>
      <c r="AB54" s="1769">
        <f>V54/250</f>
        <v>70.552000000000007</v>
      </c>
      <c r="AC54" s="1769">
        <f t="shared" si="40"/>
        <v>62.341609967305835</v>
      </c>
      <c r="AD54" s="1769">
        <f t="shared" si="41"/>
        <v>17638</v>
      </c>
      <c r="AE54" s="1769">
        <f t="shared" si="42"/>
        <v>15585.402491826457</v>
      </c>
    </row>
    <row r="55" spans="1:31" ht="77.25" customHeight="1" x14ac:dyDescent="0.3">
      <c r="A55" s="224"/>
      <c r="B55" s="1092"/>
      <c r="C55" s="2244" t="s">
        <v>464</v>
      </c>
      <c r="D55" s="2246" t="s">
        <v>465</v>
      </c>
      <c r="E55" s="1765"/>
      <c r="F55" s="1766"/>
      <c r="G55" s="1766"/>
      <c r="H55" s="1767">
        <f t="shared" si="43"/>
        <v>0</v>
      </c>
      <c r="I55" s="1768"/>
      <c r="J55" s="1769"/>
      <c r="K55" s="1770">
        <v>0</v>
      </c>
      <c r="L55" s="1769">
        <f t="shared" si="45"/>
        <v>0</v>
      </c>
      <c r="M55" s="1769">
        <f t="shared" si="33"/>
        <v>0</v>
      </c>
      <c r="N55" s="1769">
        <f t="shared" si="34"/>
        <v>0</v>
      </c>
      <c r="O55" s="1771">
        <f t="shared" si="35"/>
        <v>0</v>
      </c>
      <c r="P55" s="1785">
        <v>25540</v>
      </c>
      <c r="Q55" s="1779"/>
      <c r="R55" s="1779">
        <v>46780</v>
      </c>
      <c r="S55" s="1779"/>
      <c r="T55" s="1791">
        <f t="shared" si="36"/>
        <v>72320</v>
      </c>
      <c r="U55" s="1786" t="s">
        <v>1045</v>
      </c>
      <c r="V55" s="1776">
        <f t="shared" si="37"/>
        <v>72320</v>
      </c>
      <c r="W55" s="1777">
        <f t="shared" si="44"/>
        <v>65153.153153153151</v>
      </c>
      <c r="X55" s="1776">
        <f t="shared" si="38"/>
        <v>72320</v>
      </c>
      <c r="Y55" s="1777">
        <f t="shared" si="39"/>
        <v>65153.153153153151</v>
      </c>
      <c r="Z55" s="1778" t="s">
        <v>993</v>
      </c>
      <c r="AA55" s="1770">
        <v>55</v>
      </c>
      <c r="AB55" s="1769">
        <f>V55/55</f>
        <v>1314.909090909091</v>
      </c>
      <c r="AC55" s="1769">
        <f t="shared" si="40"/>
        <v>1161.8883899523646</v>
      </c>
      <c r="AD55" s="1769">
        <f t="shared" si="41"/>
        <v>72320</v>
      </c>
      <c r="AE55" s="1769">
        <f t="shared" si="42"/>
        <v>63903.861447380055</v>
      </c>
    </row>
    <row r="56" spans="1:31" ht="116.25" customHeight="1" x14ac:dyDescent="0.3">
      <c r="A56" s="224"/>
      <c r="B56" s="1092"/>
      <c r="C56" s="2244" t="s">
        <v>94</v>
      </c>
      <c r="D56" s="2246" t="s">
        <v>332</v>
      </c>
      <c r="E56" s="1765">
        <f>12100</f>
        <v>12100</v>
      </c>
      <c r="F56" s="1766">
        <f>18400</f>
        <v>18400</v>
      </c>
      <c r="G56" s="1766"/>
      <c r="H56" s="1767">
        <f t="shared" si="43"/>
        <v>30500</v>
      </c>
      <c r="I56" s="1768" t="s">
        <v>331</v>
      </c>
      <c r="J56" s="1769"/>
      <c r="K56" s="1770">
        <v>500</v>
      </c>
      <c r="L56" s="1769">
        <f>H56/500</f>
        <v>61</v>
      </c>
      <c r="M56" s="1769">
        <f t="shared" si="33"/>
        <v>53.901210568171777</v>
      </c>
      <c r="N56" s="1769">
        <f t="shared" si="34"/>
        <v>30500</v>
      </c>
      <c r="O56" s="1771">
        <f t="shared" si="35"/>
        <v>26950.60528408589</v>
      </c>
      <c r="P56" s="1785"/>
      <c r="Q56" s="1779"/>
      <c r="R56" s="1779">
        <f>9704</f>
        <v>9704</v>
      </c>
      <c r="S56" s="1779">
        <f>11200</f>
        <v>11200</v>
      </c>
      <c r="T56" s="1791">
        <f t="shared" si="36"/>
        <v>20904</v>
      </c>
      <c r="U56" s="1786" t="s">
        <v>1046</v>
      </c>
      <c r="V56" s="1776">
        <f t="shared" si="37"/>
        <v>20904</v>
      </c>
      <c r="W56" s="1777">
        <f t="shared" si="44"/>
        <v>18832.43243243243</v>
      </c>
      <c r="X56" s="1776">
        <f t="shared" si="38"/>
        <v>-9596</v>
      </c>
      <c r="Y56" s="1777">
        <f t="shared" si="39"/>
        <v>-8118.1728516534604</v>
      </c>
      <c r="Z56" s="1778" t="s">
        <v>993</v>
      </c>
      <c r="AA56" s="1770">
        <v>250</v>
      </c>
      <c r="AB56" s="1769">
        <f>V56/250</f>
        <v>83.616</v>
      </c>
      <c r="AC56" s="1769">
        <f t="shared" si="40"/>
        <v>73.885305292922155</v>
      </c>
      <c r="AD56" s="1769">
        <f t="shared" si="41"/>
        <v>20904</v>
      </c>
      <c r="AE56" s="1769">
        <f t="shared" si="42"/>
        <v>18471.32632323054</v>
      </c>
    </row>
    <row r="57" spans="1:31" ht="75.75" customHeight="1" x14ac:dyDescent="0.3">
      <c r="A57" s="224"/>
      <c r="B57" s="1092"/>
      <c r="C57" s="2260" t="s">
        <v>1026</v>
      </c>
      <c r="D57" s="2256" t="s">
        <v>593</v>
      </c>
      <c r="E57" s="1765">
        <f>2400</f>
        <v>2400</v>
      </c>
      <c r="F57" s="1766">
        <f>2400</f>
        <v>2400</v>
      </c>
      <c r="G57" s="1766">
        <f>2400</f>
        <v>2400</v>
      </c>
      <c r="H57" s="1767">
        <f t="shared" si="43"/>
        <v>7200</v>
      </c>
      <c r="I57" s="1768" t="s">
        <v>96</v>
      </c>
      <c r="J57" s="1769"/>
      <c r="K57" s="1770">
        <v>3</v>
      </c>
      <c r="L57" s="1769">
        <f>H57/3</f>
        <v>2400</v>
      </c>
      <c r="M57" s="1769">
        <f t="shared" si="33"/>
        <v>2120.7033666165948</v>
      </c>
      <c r="N57" s="1769">
        <f t="shared" si="34"/>
        <v>7200</v>
      </c>
      <c r="O57" s="1771">
        <f t="shared" si="35"/>
        <v>6362.1100998497841</v>
      </c>
      <c r="P57" s="1785"/>
      <c r="Q57" s="1779">
        <f>10540</f>
        <v>10540</v>
      </c>
      <c r="R57" s="1779">
        <v>10200</v>
      </c>
      <c r="S57" s="1779"/>
      <c r="T57" s="1791">
        <f t="shared" si="36"/>
        <v>20740</v>
      </c>
      <c r="U57" s="1786" t="s">
        <v>766</v>
      </c>
      <c r="V57" s="1776">
        <f t="shared" si="37"/>
        <v>20740</v>
      </c>
      <c r="W57" s="1777">
        <f t="shared" si="44"/>
        <v>18684.684684684682</v>
      </c>
      <c r="X57" s="1776">
        <f t="shared" si="38"/>
        <v>13540</v>
      </c>
      <c r="Y57" s="1777">
        <f t="shared" si="39"/>
        <v>12322.574584834898</v>
      </c>
      <c r="Z57" s="1778" t="s">
        <v>992</v>
      </c>
      <c r="AA57" s="1770">
        <v>19</v>
      </c>
      <c r="AB57" s="1769">
        <f>V57/19</f>
        <v>1091.578947368421</v>
      </c>
      <c r="AC57" s="1769">
        <f t="shared" si="40"/>
        <v>964.54797858833706</v>
      </c>
      <c r="AD57" s="1769">
        <f t="shared" si="41"/>
        <v>20740</v>
      </c>
      <c r="AE57" s="1769">
        <f t="shared" si="42"/>
        <v>18326.411593178404</v>
      </c>
    </row>
    <row r="58" spans="1:31" ht="56.25" customHeight="1" x14ac:dyDescent="0.3">
      <c r="A58" s="224"/>
      <c r="B58" s="1092"/>
      <c r="C58" s="2244" t="s">
        <v>1027</v>
      </c>
      <c r="D58" s="2246" t="s">
        <v>656</v>
      </c>
      <c r="E58" s="1765"/>
      <c r="F58" s="1766"/>
      <c r="G58" s="1766"/>
      <c r="H58" s="1767">
        <f t="shared" si="43"/>
        <v>0</v>
      </c>
      <c r="I58" s="1768"/>
      <c r="J58" s="1769"/>
      <c r="K58" s="1770">
        <v>0</v>
      </c>
      <c r="L58" s="1769">
        <f t="shared" si="45"/>
        <v>0</v>
      </c>
      <c r="M58" s="1769">
        <f t="shared" si="33"/>
        <v>0</v>
      </c>
      <c r="N58" s="1769">
        <f t="shared" si="34"/>
        <v>0</v>
      </c>
      <c r="O58" s="1771">
        <f t="shared" si="35"/>
        <v>0</v>
      </c>
      <c r="P58" s="1785"/>
      <c r="Q58" s="1779"/>
      <c r="R58" s="1779"/>
      <c r="S58" s="1779"/>
      <c r="T58" s="1791">
        <f t="shared" si="36"/>
        <v>0</v>
      </c>
      <c r="U58" s="1786" t="s">
        <v>917</v>
      </c>
      <c r="V58" s="1776">
        <f t="shared" si="37"/>
        <v>0</v>
      </c>
      <c r="W58" s="1777">
        <f t="shared" si="44"/>
        <v>0</v>
      </c>
      <c r="X58" s="1776">
        <f t="shared" si="38"/>
        <v>0</v>
      </c>
      <c r="Y58" s="1777">
        <f t="shared" si="39"/>
        <v>0</v>
      </c>
      <c r="Z58" s="1778"/>
      <c r="AA58" s="1770">
        <v>0</v>
      </c>
      <c r="AB58" s="1769">
        <f>V58/2</f>
        <v>0</v>
      </c>
      <c r="AC58" s="1769">
        <f t="shared" si="40"/>
        <v>0</v>
      </c>
      <c r="AD58" s="1769">
        <f t="shared" si="41"/>
        <v>0</v>
      </c>
      <c r="AE58" s="1769">
        <f t="shared" si="42"/>
        <v>0</v>
      </c>
    </row>
    <row r="59" spans="1:31" ht="59.25" customHeight="1" x14ac:dyDescent="0.3">
      <c r="A59" s="224"/>
      <c r="B59" s="1092"/>
      <c r="C59" s="2244" t="s">
        <v>660</v>
      </c>
      <c r="D59" s="2246" t="s">
        <v>658</v>
      </c>
      <c r="E59" s="1765"/>
      <c r="F59" s="1766"/>
      <c r="G59" s="1766"/>
      <c r="H59" s="1767">
        <f t="shared" si="43"/>
        <v>0</v>
      </c>
      <c r="I59" s="1768"/>
      <c r="J59" s="1769"/>
      <c r="K59" s="1770">
        <v>0</v>
      </c>
      <c r="L59" s="1769">
        <f t="shared" si="45"/>
        <v>0</v>
      </c>
      <c r="M59" s="1769">
        <f t="shared" si="33"/>
        <v>0</v>
      </c>
      <c r="N59" s="1769">
        <f t="shared" si="34"/>
        <v>0</v>
      </c>
      <c r="O59" s="1771">
        <f t="shared" si="35"/>
        <v>0</v>
      </c>
      <c r="P59" s="1785"/>
      <c r="Q59" s="1779"/>
      <c r="R59" s="1779"/>
      <c r="S59" s="1779">
        <v>5000</v>
      </c>
      <c r="T59" s="1791">
        <f t="shared" si="36"/>
        <v>5000</v>
      </c>
      <c r="U59" s="1786" t="s">
        <v>659</v>
      </c>
      <c r="V59" s="1776">
        <f t="shared" si="37"/>
        <v>5000</v>
      </c>
      <c r="W59" s="1777">
        <f t="shared" si="44"/>
        <v>4504.5045045045044</v>
      </c>
      <c r="X59" s="1776">
        <f t="shared" si="38"/>
        <v>5000</v>
      </c>
      <c r="Y59" s="1777">
        <f t="shared" si="39"/>
        <v>4504.5045045045044</v>
      </c>
      <c r="Z59" s="1778" t="s">
        <v>1037</v>
      </c>
      <c r="AA59" s="1770">
        <v>10</v>
      </c>
      <c r="AB59" s="1769">
        <f>V59/10</f>
        <v>500</v>
      </c>
      <c r="AC59" s="1769">
        <f t="shared" si="40"/>
        <v>441.81320137845722</v>
      </c>
      <c r="AD59" s="1769">
        <f t="shared" si="41"/>
        <v>5000</v>
      </c>
      <c r="AE59" s="1769">
        <f t="shared" si="42"/>
        <v>4418.1320137845723</v>
      </c>
    </row>
    <row r="60" spans="1:31" ht="84.75" customHeight="1" x14ac:dyDescent="0.3">
      <c r="A60" s="224"/>
      <c r="B60" s="1092"/>
      <c r="C60" s="2244" t="s">
        <v>663</v>
      </c>
      <c r="D60" s="2246" t="s">
        <v>661</v>
      </c>
      <c r="E60" s="1765"/>
      <c r="F60" s="1766"/>
      <c r="G60" s="1766"/>
      <c r="H60" s="1767">
        <f t="shared" si="43"/>
        <v>0</v>
      </c>
      <c r="I60" s="1768"/>
      <c r="J60" s="1769"/>
      <c r="K60" s="1770">
        <v>0</v>
      </c>
      <c r="L60" s="1769">
        <f t="shared" si="45"/>
        <v>0</v>
      </c>
      <c r="M60" s="1769">
        <f t="shared" si="33"/>
        <v>0</v>
      </c>
      <c r="N60" s="1769">
        <f t="shared" si="34"/>
        <v>0</v>
      </c>
      <c r="O60" s="1771">
        <f t="shared" si="35"/>
        <v>0</v>
      </c>
      <c r="P60" s="1785"/>
      <c r="Q60" s="1779"/>
      <c r="R60" s="1779"/>
      <c r="S60" s="1779">
        <v>4000</v>
      </c>
      <c r="T60" s="1791">
        <f t="shared" si="36"/>
        <v>4000</v>
      </c>
      <c r="U60" s="1786" t="s">
        <v>662</v>
      </c>
      <c r="V60" s="1776">
        <f t="shared" si="37"/>
        <v>4000</v>
      </c>
      <c r="W60" s="1777">
        <f t="shared" si="44"/>
        <v>3603.6036036036035</v>
      </c>
      <c r="X60" s="1776">
        <f t="shared" si="38"/>
        <v>4000</v>
      </c>
      <c r="Y60" s="1777">
        <f t="shared" si="39"/>
        <v>3603.6036036036035</v>
      </c>
      <c r="Z60" s="1778" t="s">
        <v>1038</v>
      </c>
      <c r="AA60" s="1770">
        <v>400</v>
      </c>
      <c r="AB60" s="1769">
        <f>V60/400</f>
        <v>10</v>
      </c>
      <c r="AC60" s="1769">
        <f t="shared" si="40"/>
        <v>8.8362640275691451</v>
      </c>
      <c r="AD60" s="1769">
        <f t="shared" si="41"/>
        <v>4000</v>
      </c>
      <c r="AE60" s="1769">
        <f t="shared" si="42"/>
        <v>3534.5056110276578</v>
      </c>
    </row>
    <row r="61" spans="1:31" ht="54" customHeight="1" x14ac:dyDescent="0.3">
      <c r="A61" s="224"/>
      <c r="B61" s="1092"/>
      <c r="C61" s="2244" t="s">
        <v>666</v>
      </c>
      <c r="D61" s="2246" t="s">
        <v>664</v>
      </c>
      <c r="E61" s="1765"/>
      <c r="F61" s="1766"/>
      <c r="G61" s="1766"/>
      <c r="H61" s="1767">
        <f t="shared" si="43"/>
        <v>0</v>
      </c>
      <c r="I61" s="1768"/>
      <c r="J61" s="1769"/>
      <c r="K61" s="1770">
        <v>0</v>
      </c>
      <c r="L61" s="1769">
        <f t="shared" si="45"/>
        <v>0</v>
      </c>
      <c r="M61" s="1769">
        <f t="shared" si="33"/>
        <v>0</v>
      </c>
      <c r="N61" s="1769">
        <f t="shared" si="34"/>
        <v>0</v>
      </c>
      <c r="O61" s="1771">
        <f t="shared" si="35"/>
        <v>0</v>
      </c>
      <c r="P61" s="1785"/>
      <c r="Q61" s="1779"/>
      <c r="R61" s="1779"/>
      <c r="S61" s="1779"/>
      <c r="T61" s="1791">
        <f t="shared" si="36"/>
        <v>0</v>
      </c>
      <c r="U61" s="1786" t="s">
        <v>665</v>
      </c>
      <c r="V61" s="1776">
        <f t="shared" si="37"/>
        <v>0</v>
      </c>
      <c r="W61" s="1777">
        <f t="shared" si="44"/>
        <v>0</v>
      </c>
      <c r="X61" s="1776">
        <f t="shared" si="38"/>
        <v>0</v>
      </c>
      <c r="Y61" s="1777">
        <f t="shared" si="39"/>
        <v>0</v>
      </c>
      <c r="Z61" s="1778"/>
      <c r="AA61" s="1770">
        <v>0</v>
      </c>
      <c r="AB61" s="1769">
        <v>0</v>
      </c>
      <c r="AC61" s="1769">
        <f t="shared" si="40"/>
        <v>0</v>
      </c>
      <c r="AD61" s="1769">
        <f t="shared" si="41"/>
        <v>0</v>
      </c>
      <c r="AE61" s="1769">
        <f t="shared" si="42"/>
        <v>0</v>
      </c>
    </row>
    <row r="62" spans="1:31" ht="49.5" customHeight="1" x14ac:dyDescent="0.3">
      <c r="A62" s="224"/>
      <c r="B62" s="1092"/>
      <c r="C62" s="2244" t="s">
        <v>1028</v>
      </c>
      <c r="D62" s="2246" t="s">
        <v>667</v>
      </c>
      <c r="E62" s="1765"/>
      <c r="F62" s="1766"/>
      <c r="G62" s="1766"/>
      <c r="H62" s="1767">
        <f t="shared" si="43"/>
        <v>0</v>
      </c>
      <c r="I62" s="1768"/>
      <c r="J62" s="1769"/>
      <c r="K62" s="1770">
        <v>0</v>
      </c>
      <c r="L62" s="1769">
        <f t="shared" si="45"/>
        <v>0</v>
      </c>
      <c r="M62" s="1769">
        <f t="shared" si="33"/>
        <v>0</v>
      </c>
      <c r="N62" s="1769">
        <f t="shared" si="34"/>
        <v>0</v>
      </c>
      <c r="O62" s="1771">
        <f t="shared" si="35"/>
        <v>0</v>
      </c>
      <c r="P62" s="1785"/>
      <c r="Q62" s="1779"/>
      <c r="R62" s="1779"/>
      <c r="S62" s="1779"/>
      <c r="T62" s="1791">
        <f t="shared" si="36"/>
        <v>0</v>
      </c>
      <c r="U62" s="1786" t="s">
        <v>665</v>
      </c>
      <c r="V62" s="1776">
        <f t="shared" si="37"/>
        <v>0</v>
      </c>
      <c r="W62" s="1777">
        <f t="shared" si="44"/>
        <v>0</v>
      </c>
      <c r="X62" s="1776">
        <f t="shared" si="38"/>
        <v>0</v>
      </c>
      <c r="Y62" s="1777">
        <f t="shared" si="39"/>
        <v>0</v>
      </c>
      <c r="Z62" s="1778"/>
      <c r="AA62" s="1770">
        <v>0</v>
      </c>
      <c r="AB62" s="1769">
        <f t="shared" ref="AB62" si="46">V62/19</f>
        <v>0</v>
      </c>
      <c r="AC62" s="1769">
        <f t="shared" si="40"/>
        <v>0</v>
      </c>
      <c r="AD62" s="1769">
        <f t="shared" si="41"/>
        <v>0</v>
      </c>
      <c r="AE62" s="1769">
        <f t="shared" si="42"/>
        <v>0</v>
      </c>
    </row>
    <row r="63" spans="1:31" ht="34.5" customHeight="1" thickBot="1" x14ac:dyDescent="0.35">
      <c r="A63" s="224"/>
      <c r="B63" s="1092"/>
      <c r="C63" s="2261"/>
      <c r="D63" s="2250"/>
      <c r="E63" s="2366"/>
      <c r="F63" s="2367"/>
      <c r="G63" s="2367"/>
      <c r="H63" s="2368"/>
      <c r="I63" s="2369"/>
      <c r="J63" s="2330"/>
      <c r="K63" s="2331"/>
      <c r="L63" s="2330"/>
      <c r="M63" s="2330"/>
      <c r="N63" s="2330"/>
      <c r="O63" s="2332"/>
      <c r="P63" s="2370"/>
      <c r="Q63" s="2371"/>
      <c r="R63" s="2371"/>
      <c r="S63" s="2371"/>
      <c r="T63" s="2371"/>
      <c r="U63" s="2372"/>
      <c r="V63" s="2336"/>
      <c r="W63" s="2337"/>
      <c r="X63" s="2336"/>
      <c r="Y63" s="2337"/>
      <c r="Z63" s="2338"/>
      <c r="AA63" s="2331"/>
      <c r="AB63" s="2330"/>
      <c r="AC63" s="2330"/>
      <c r="AD63" s="2330"/>
      <c r="AE63" s="2330"/>
    </row>
    <row r="64" spans="1:31" ht="30.75" customHeight="1" thickBot="1" x14ac:dyDescent="0.35">
      <c r="A64" s="284"/>
      <c r="B64" s="1739" t="s">
        <v>45</v>
      </c>
      <c r="C64" s="1833"/>
      <c r="D64" s="2034"/>
      <c r="E64" s="2035">
        <f>SUM(E48:E62)</f>
        <v>148720</v>
      </c>
      <c r="F64" s="2033">
        <f t="shared" ref="F64:O64" si="47">SUM(F48:F62)</f>
        <v>59062.5</v>
      </c>
      <c r="G64" s="2033">
        <f t="shared" si="47"/>
        <v>4800</v>
      </c>
      <c r="H64" s="2036">
        <f t="shared" si="47"/>
        <v>212582.5</v>
      </c>
      <c r="I64" s="2380"/>
      <c r="J64" s="2380"/>
      <c r="K64" s="2380"/>
      <c r="L64" s="2380"/>
      <c r="M64" s="2380">
        <v>0</v>
      </c>
      <c r="N64" s="2531">
        <f>SUM(N48:N62)</f>
        <v>212582.5</v>
      </c>
      <c r="O64" s="2380">
        <f t="shared" si="47"/>
        <v>187843.50976407176</v>
      </c>
      <c r="P64" s="2380">
        <f>SUM(P47:P63)</f>
        <v>134731</v>
      </c>
      <c r="Q64" s="2380">
        <f>SUM(Q47:Q63)</f>
        <v>225891</v>
      </c>
      <c r="R64" s="2380">
        <f>SUM(R47:R63)</f>
        <v>120172</v>
      </c>
      <c r="S64" s="2380">
        <f>SUM(S47:S63)</f>
        <v>85200</v>
      </c>
      <c r="T64" s="2380">
        <f>SUM(T47:T63)</f>
        <v>565994</v>
      </c>
      <c r="U64" s="2380">
        <f>SUM(U47:U57)</f>
        <v>0</v>
      </c>
      <c r="V64" s="2380">
        <f>SUM(V47:V63)</f>
        <v>565994</v>
      </c>
      <c r="W64" s="2380">
        <f>SUM(W47:W63)</f>
        <v>509904.50450450438</v>
      </c>
      <c r="X64" s="2380">
        <f>SUM(X47:X63)</f>
        <v>353411.5</v>
      </c>
      <c r="Y64" s="2380">
        <f>SUM(Y47:Y63)</f>
        <v>322060.99474043271</v>
      </c>
      <c r="Z64" s="2380"/>
      <c r="AA64" s="2380"/>
      <c r="AB64" s="2381"/>
      <c r="AC64" s="2381">
        <f>SUM(AC47:AC63)</f>
        <v>42224.167468403102</v>
      </c>
      <c r="AD64" s="2381">
        <f>SUM(AD47:AD63)</f>
        <v>565994</v>
      </c>
      <c r="AE64" s="2381">
        <f>SUM(AE47:AE63)</f>
        <v>500127.24220199697</v>
      </c>
    </row>
    <row r="65" spans="1:31" ht="93.75" customHeight="1" x14ac:dyDescent="0.3">
      <c r="A65" s="305">
        <v>2.2000000000000002</v>
      </c>
      <c r="B65" s="2704" t="s">
        <v>97</v>
      </c>
      <c r="C65" s="2705"/>
      <c r="D65" s="2643"/>
      <c r="E65" s="2373"/>
      <c r="F65" s="2374"/>
      <c r="G65" s="2374"/>
      <c r="H65" s="2375"/>
      <c r="I65" s="2376"/>
      <c r="J65" s="2340"/>
      <c r="K65" s="2341"/>
      <c r="L65" s="2340"/>
      <c r="M65" s="2340"/>
      <c r="N65" s="2340"/>
      <c r="O65" s="2342"/>
      <c r="P65" s="2377"/>
      <c r="Q65" s="2378"/>
      <c r="R65" s="2378"/>
      <c r="S65" s="2378"/>
      <c r="T65" s="2378"/>
      <c r="U65" s="2379"/>
      <c r="V65" s="2377"/>
      <c r="W65" s="2346"/>
      <c r="X65" s="2377"/>
      <c r="Y65" s="2379"/>
      <c r="Z65" s="2347"/>
      <c r="AA65" s="2341"/>
      <c r="AB65" s="2340"/>
      <c r="AC65" s="2340"/>
      <c r="AD65" s="2340"/>
      <c r="AE65" s="2340"/>
    </row>
    <row r="66" spans="1:31" ht="69" customHeight="1" x14ac:dyDescent="0.3">
      <c r="A66" s="224"/>
      <c r="B66" s="307"/>
      <c r="C66" s="2265" t="s">
        <v>98</v>
      </c>
      <c r="D66" s="2269" t="s">
        <v>99</v>
      </c>
      <c r="E66" s="1765">
        <f>2856</f>
        <v>2856</v>
      </c>
      <c r="F66" s="1766">
        <f>2856</f>
        <v>2856</v>
      </c>
      <c r="G66" s="1766">
        <f>2856</f>
        <v>2856</v>
      </c>
      <c r="H66" s="1767">
        <f t="shared" ref="H66:H72" si="48">SUM(E66:G66)</f>
        <v>8568</v>
      </c>
      <c r="I66" s="1768" t="s">
        <v>100</v>
      </c>
      <c r="J66" s="1769" t="s">
        <v>998</v>
      </c>
      <c r="K66" s="1770">
        <v>6</v>
      </c>
      <c r="L66" s="1769">
        <f>H66/6</f>
        <v>1428</v>
      </c>
      <c r="M66" s="1769">
        <f>L66/1.1317</f>
        <v>1261.8185031368739</v>
      </c>
      <c r="N66" s="1769">
        <f>K66*L66</f>
        <v>8568</v>
      </c>
      <c r="O66" s="1771">
        <f t="shared" ref="O66:O72" si="49">N66/1.1317</f>
        <v>7570.9110188212426</v>
      </c>
      <c r="P66" s="1785"/>
      <c r="Q66" s="1779"/>
      <c r="R66" s="1779">
        <f>2900</f>
        <v>2900</v>
      </c>
      <c r="S66" s="1779"/>
      <c r="T66" s="1791">
        <f t="shared" ref="T66:T70" si="50">SUM(P66:S66)</f>
        <v>2900</v>
      </c>
      <c r="U66" s="1720" t="s">
        <v>1047</v>
      </c>
      <c r="V66" s="1776">
        <f t="shared" ref="V66:V73" si="51">P66+Q66+R66+S66</f>
        <v>2900</v>
      </c>
      <c r="W66" s="1777">
        <f t="shared" ref="W66:W73" si="52">V66/1.11</f>
        <v>2612.6126126126123</v>
      </c>
      <c r="X66" s="1776">
        <f t="shared" ref="X66:Y73" si="53">V66-N66</f>
        <v>-5668</v>
      </c>
      <c r="Y66" s="1777">
        <f t="shared" si="53"/>
        <v>-4958.2984062086307</v>
      </c>
      <c r="Z66" s="1778" t="s">
        <v>998</v>
      </c>
      <c r="AA66" s="1770">
        <v>2</v>
      </c>
      <c r="AB66" s="1769">
        <f>V66/2</f>
        <v>1450</v>
      </c>
      <c r="AC66" s="1769">
        <f>AB66/1.1317</f>
        <v>1281.258283997526</v>
      </c>
      <c r="AD66" s="1769">
        <f>AA66*AB66</f>
        <v>2900</v>
      </c>
      <c r="AE66" s="1769">
        <f t="shared" ref="AE66:AE73" si="54">AD66/1.1317</f>
        <v>2562.5165679950519</v>
      </c>
    </row>
    <row r="67" spans="1:31" ht="90.75" customHeight="1" x14ac:dyDescent="0.3">
      <c r="A67" s="224"/>
      <c r="B67" s="133"/>
      <c r="C67" s="2266" t="s">
        <v>101</v>
      </c>
      <c r="D67" s="2270" t="s">
        <v>547</v>
      </c>
      <c r="E67" s="1765">
        <f>50660</f>
        <v>50660</v>
      </c>
      <c r="F67" s="1766">
        <f>27940</f>
        <v>27940</v>
      </c>
      <c r="G67" s="1766"/>
      <c r="H67" s="1767">
        <f t="shared" si="48"/>
        <v>78600</v>
      </c>
      <c r="I67" s="1768" t="s">
        <v>999</v>
      </c>
      <c r="J67" s="1769" t="s">
        <v>993</v>
      </c>
      <c r="K67" s="1770">
        <v>120</v>
      </c>
      <c r="L67" s="1769">
        <f>H67/120</f>
        <v>655</v>
      </c>
      <c r="M67" s="1769">
        <f t="shared" ref="M67:M72" si="55">L67/1.1317</f>
        <v>578.77529380577892</v>
      </c>
      <c r="N67" s="1769">
        <f t="shared" ref="N67:N72" si="56">K67*L67</f>
        <v>78600</v>
      </c>
      <c r="O67" s="1771">
        <f t="shared" si="49"/>
        <v>69453.035256693474</v>
      </c>
      <c r="P67" s="1785">
        <v>35700</v>
      </c>
      <c r="Q67" s="1779">
        <v>7400</v>
      </c>
      <c r="R67" s="1779">
        <v>6450</v>
      </c>
      <c r="S67" s="1779"/>
      <c r="T67" s="1791">
        <f t="shared" si="50"/>
        <v>49550</v>
      </c>
      <c r="U67" s="1720" t="s">
        <v>1048</v>
      </c>
      <c r="V67" s="1776">
        <f t="shared" si="51"/>
        <v>49550</v>
      </c>
      <c r="W67" s="1777">
        <f t="shared" si="52"/>
        <v>44639.639639639638</v>
      </c>
      <c r="X67" s="1776">
        <f t="shared" si="53"/>
        <v>-29050</v>
      </c>
      <c r="Y67" s="1777">
        <f t="shared" si="53"/>
        <v>-24813.395617053837</v>
      </c>
      <c r="Z67" s="1778" t="s">
        <v>993</v>
      </c>
      <c r="AA67" s="1770">
        <v>120</v>
      </c>
      <c r="AB67" s="1769">
        <f>V67/120</f>
        <v>412.91666666666669</v>
      </c>
      <c r="AC67" s="1769">
        <f>AB67/1.1317</f>
        <v>364.86406880504262</v>
      </c>
      <c r="AD67" s="1769">
        <f>AA67*AB67</f>
        <v>49550</v>
      </c>
      <c r="AE67" s="1769">
        <f t="shared" si="54"/>
        <v>43783.688256605114</v>
      </c>
    </row>
    <row r="68" spans="1:31" ht="65.25" customHeight="1" x14ac:dyDescent="0.3">
      <c r="A68" s="224"/>
      <c r="B68" s="133"/>
      <c r="C68" s="2266" t="s">
        <v>102</v>
      </c>
      <c r="D68" s="2270" t="s">
        <v>467</v>
      </c>
      <c r="E68" s="1765"/>
      <c r="F68" s="1766"/>
      <c r="G68" s="1766"/>
      <c r="H68" s="1767"/>
      <c r="I68" s="1768"/>
      <c r="J68" s="1769"/>
      <c r="K68" s="1770">
        <v>0</v>
      </c>
      <c r="L68" s="1769">
        <f t="shared" ref="L68:L72" si="57">H68/15</f>
        <v>0</v>
      </c>
      <c r="M68" s="1769">
        <f t="shared" si="55"/>
        <v>0</v>
      </c>
      <c r="N68" s="1769">
        <f t="shared" si="56"/>
        <v>0</v>
      </c>
      <c r="O68" s="1771">
        <f t="shared" si="49"/>
        <v>0</v>
      </c>
      <c r="P68" s="1834">
        <v>126720</v>
      </c>
      <c r="Q68" s="1835">
        <v>46500</v>
      </c>
      <c r="R68" s="1779">
        <f>36200</f>
        <v>36200</v>
      </c>
      <c r="S68" s="1835"/>
      <c r="T68" s="1791">
        <f t="shared" si="50"/>
        <v>209420</v>
      </c>
      <c r="U68" s="1720" t="s">
        <v>918</v>
      </c>
      <c r="V68" s="1776">
        <f t="shared" si="51"/>
        <v>209420</v>
      </c>
      <c r="W68" s="1777">
        <f t="shared" si="52"/>
        <v>188666.66666666666</v>
      </c>
      <c r="X68" s="1776">
        <f t="shared" si="53"/>
        <v>209420</v>
      </c>
      <c r="Y68" s="1777">
        <f t="shared" si="53"/>
        <v>188666.66666666666</v>
      </c>
      <c r="Z68" s="1778" t="s">
        <v>1010</v>
      </c>
      <c r="AA68" s="1770">
        <v>10</v>
      </c>
      <c r="AB68" s="1769">
        <f>V68/10</f>
        <v>20942</v>
      </c>
      <c r="AC68" s="1769">
        <f>AB68/1.1317</f>
        <v>18504.904126535301</v>
      </c>
      <c r="AD68" s="1769">
        <f>AA68*AB68</f>
        <v>209420</v>
      </c>
      <c r="AE68" s="1769">
        <f t="shared" si="54"/>
        <v>185049.04126535301</v>
      </c>
    </row>
    <row r="69" spans="1:31" ht="62.25" customHeight="1" x14ac:dyDescent="0.3">
      <c r="A69" s="224"/>
      <c r="B69" s="133"/>
      <c r="C69" s="2266" t="s">
        <v>468</v>
      </c>
      <c r="D69" s="2270" t="s">
        <v>469</v>
      </c>
      <c r="E69" s="1765"/>
      <c r="F69" s="1766"/>
      <c r="G69" s="1766"/>
      <c r="H69" s="1767">
        <f t="shared" si="48"/>
        <v>0</v>
      </c>
      <c r="I69" s="1768"/>
      <c r="J69" s="1769"/>
      <c r="K69" s="1770">
        <v>0</v>
      </c>
      <c r="L69" s="1769">
        <f t="shared" si="57"/>
        <v>0</v>
      </c>
      <c r="M69" s="1769">
        <f t="shared" si="55"/>
        <v>0</v>
      </c>
      <c r="N69" s="1769">
        <f t="shared" si="56"/>
        <v>0</v>
      </c>
      <c r="O69" s="1771">
        <f t="shared" si="49"/>
        <v>0</v>
      </c>
      <c r="P69" s="1785"/>
      <c r="Q69" s="1779"/>
      <c r="R69" s="1779">
        <f>3400</f>
        <v>3400</v>
      </c>
      <c r="S69" s="1779"/>
      <c r="T69" s="1791">
        <f t="shared" si="50"/>
        <v>3400</v>
      </c>
      <c r="U69" s="1786" t="s">
        <v>728</v>
      </c>
      <c r="V69" s="1776">
        <f t="shared" si="51"/>
        <v>3400</v>
      </c>
      <c r="W69" s="1777">
        <f t="shared" si="52"/>
        <v>3063.0630630630626</v>
      </c>
      <c r="X69" s="1776">
        <f t="shared" si="53"/>
        <v>3400</v>
      </c>
      <c r="Y69" s="1777">
        <f t="shared" si="53"/>
        <v>3063.0630630630626</v>
      </c>
      <c r="Z69" s="1778" t="s">
        <v>993</v>
      </c>
      <c r="AA69" s="1770">
        <v>100</v>
      </c>
      <c r="AB69" s="1769">
        <f>V69/100</f>
        <v>34</v>
      </c>
      <c r="AC69" s="1769">
        <f>AB69/1.1317</f>
        <v>30.043297693735092</v>
      </c>
      <c r="AD69" s="1769">
        <f>AA69*AB69</f>
        <v>3400</v>
      </c>
      <c r="AE69" s="1769">
        <f t="shared" si="54"/>
        <v>3004.329769373509</v>
      </c>
    </row>
    <row r="70" spans="1:31" ht="56.25" customHeight="1" x14ac:dyDescent="0.3">
      <c r="A70" s="224"/>
      <c r="B70" s="133"/>
      <c r="C70" s="2266" t="s">
        <v>470</v>
      </c>
      <c r="D70" s="2270" t="s">
        <v>595</v>
      </c>
      <c r="E70" s="1765"/>
      <c r="F70" s="1766">
        <f>42250</f>
        <v>42250</v>
      </c>
      <c r="G70" s="1766">
        <f>42250</f>
        <v>42250</v>
      </c>
      <c r="H70" s="1767">
        <f t="shared" si="48"/>
        <v>84500</v>
      </c>
      <c r="I70" s="1768" t="s">
        <v>988</v>
      </c>
      <c r="J70" s="1769"/>
      <c r="K70" s="1770">
        <v>26</v>
      </c>
      <c r="L70" s="1769">
        <f>H70/26</f>
        <v>3250</v>
      </c>
      <c r="M70" s="1769">
        <f t="shared" si="55"/>
        <v>2871.7858089599717</v>
      </c>
      <c r="N70" s="1769">
        <f t="shared" si="56"/>
        <v>84500</v>
      </c>
      <c r="O70" s="1771">
        <f t="shared" si="49"/>
        <v>74666.43103295927</v>
      </c>
      <c r="P70" s="1785">
        <v>0</v>
      </c>
      <c r="Q70" s="1779">
        <v>47985</v>
      </c>
      <c r="R70" s="1779"/>
      <c r="S70" s="1779"/>
      <c r="T70" s="1791">
        <f t="shared" si="50"/>
        <v>47985</v>
      </c>
      <c r="U70" s="1786" t="s">
        <v>596</v>
      </c>
      <c r="V70" s="1776">
        <f t="shared" si="51"/>
        <v>47985</v>
      </c>
      <c r="W70" s="1777">
        <f t="shared" si="52"/>
        <v>43229.729729729726</v>
      </c>
      <c r="X70" s="1776">
        <f t="shared" si="53"/>
        <v>-36515</v>
      </c>
      <c r="Y70" s="1777">
        <f t="shared" si="53"/>
        <v>-31436.701303229544</v>
      </c>
      <c r="Z70" s="1778" t="s">
        <v>1015</v>
      </c>
      <c r="AA70" s="1770">
        <v>11</v>
      </c>
      <c r="AB70" s="1769">
        <f>V70/11</f>
        <v>4362.272727272727</v>
      </c>
      <c r="AC70" s="1769">
        <f>AB70/1.1317</f>
        <v>3854.6193578445941</v>
      </c>
      <c r="AD70" s="1769">
        <f>AA70*AB70</f>
        <v>47985</v>
      </c>
      <c r="AE70" s="1769">
        <f t="shared" si="54"/>
        <v>42400.812936290538</v>
      </c>
    </row>
    <row r="71" spans="1:31" ht="55.5" customHeight="1" x14ac:dyDescent="0.3">
      <c r="A71" s="224"/>
      <c r="B71" s="133"/>
      <c r="C71" s="1137" t="s">
        <v>919</v>
      </c>
      <c r="D71" s="2271" t="s">
        <v>668</v>
      </c>
      <c r="E71" s="1765"/>
      <c r="F71" s="1766"/>
      <c r="G71" s="1766"/>
      <c r="H71" s="1767">
        <f t="shared" si="48"/>
        <v>0</v>
      </c>
      <c r="I71" s="1768"/>
      <c r="J71" s="1769"/>
      <c r="K71" s="1770">
        <v>0</v>
      </c>
      <c r="L71" s="1769">
        <f t="shared" si="57"/>
        <v>0</v>
      </c>
      <c r="M71" s="1769">
        <f t="shared" si="55"/>
        <v>0</v>
      </c>
      <c r="N71" s="1769">
        <f t="shared" si="56"/>
        <v>0</v>
      </c>
      <c r="O71" s="1771">
        <f t="shared" si="49"/>
        <v>0</v>
      </c>
      <c r="P71" s="1785"/>
      <c r="Q71" s="1779"/>
      <c r="R71" s="1779">
        <f>1080</f>
        <v>1080</v>
      </c>
      <c r="S71" s="1779">
        <v>4200</v>
      </c>
      <c r="T71" s="1791">
        <f>SUM(P71:S71)</f>
        <v>5280</v>
      </c>
      <c r="U71" s="1786" t="s">
        <v>893</v>
      </c>
      <c r="V71" s="1776">
        <f t="shared" si="51"/>
        <v>5280</v>
      </c>
      <c r="W71" s="1777">
        <f t="shared" si="52"/>
        <v>4756.7567567567567</v>
      </c>
      <c r="X71" s="1776">
        <f t="shared" si="53"/>
        <v>5280</v>
      </c>
      <c r="Y71" s="1777">
        <f t="shared" si="53"/>
        <v>4756.7567567567567</v>
      </c>
      <c r="Z71" s="1778" t="s">
        <v>1039</v>
      </c>
      <c r="AA71" s="1770">
        <v>2</v>
      </c>
      <c r="AB71" s="1769">
        <f>V71/2</f>
        <v>2640</v>
      </c>
      <c r="AC71" s="1769">
        <f t="shared" ref="AC71:AC73" si="58">AB71/1.1317</f>
        <v>2332.7737032782543</v>
      </c>
      <c r="AD71" s="1769">
        <f t="shared" ref="AD71:AD73" si="59">AA71*AB71</f>
        <v>5280</v>
      </c>
      <c r="AE71" s="1769">
        <f t="shared" si="54"/>
        <v>4665.5474065565086</v>
      </c>
    </row>
    <row r="72" spans="1:31" ht="57.75" customHeight="1" x14ac:dyDescent="0.3">
      <c r="A72" s="224"/>
      <c r="B72" s="133"/>
      <c r="C72" s="2267" t="s">
        <v>920</v>
      </c>
      <c r="D72" s="2272" t="s">
        <v>902</v>
      </c>
      <c r="E72" s="1765"/>
      <c r="F72" s="1766"/>
      <c r="G72" s="1766"/>
      <c r="H72" s="1767">
        <f t="shared" si="48"/>
        <v>0</v>
      </c>
      <c r="I72" s="1768"/>
      <c r="J72" s="1769"/>
      <c r="K72" s="1770">
        <v>0</v>
      </c>
      <c r="L72" s="1769">
        <f t="shared" si="57"/>
        <v>0</v>
      </c>
      <c r="M72" s="1769">
        <f t="shared" si="55"/>
        <v>0</v>
      </c>
      <c r="N72" s="1769">
        <f t="shared" si="56"/>
        <v>0</v>
      </c>
      <c r="O72" s="1771">
        <f t="shared" si="49"/>
        <v>0</v>
      </c>
      <c r="P72" s="1785"/>
      <c r="Q72" s="1779"/>
      <c r="R72" s="1779"/>
      <c r="S72" s="1779">
        <f>60400</f>
        <v>60400</v>
      </c>
      <c r="T72" s="1791">
        <f>SUM(P72:S72)</f>
        <v>60400</v>
      </c>
      <c r="U72" s="1786" t="s">
        <v>892</v>
      </c>
      <c r="V72" s="1776">
        <f t="shared" si="51"/>
        <v>60400</v>
      </c>
      <c r="W72" s="1777">
        <f t="shared" si="52"/>
        <v>54414.414414414408</v>
      </c>
      <c r="X72" s="1776">
        <f t="shared" si="53"/>
        <v>60400</v>
      </c>
      <c r="Y72" s="1777">
        <f t="shared" si="53"/>
        <v>54414.414414414408</v>
      </c>
      <c r="Z72" s="1778" t="s">
        <v>993</v>
      </c>
      <c r="AA72" s="1770">
        <v>370</v>
      </c>
      <c r="AB72" s="1769">
        <f>V72/370</f>
        <v>163.24324324324326</v>
      </c>
      <c r="AC72" s="1769">
        <f t="shared" si="58"/>
        <v>144.24603980139901</v>
      </c>
      <c r="AD72" s="1769">
        <f t="shared" si="59"/>
        <v>60400.000000000007</v>
      </c>
      <c r="AE72" s="1769">
        <f t="shared" si="54"/>
        <v>53371.034726517639</v>
      </c>
    </row>
    <row r="73" spans="1:31" ht="77.25" customHeight="1" x14ac:dyDescent="0.3">
      <c r="A73" s="224"/>
      <c r="B73" s="133"/>
      <c r="C73" s="2275" t="s">
        <v>912</v>
      </c>
      <c r="D73" s="2273" t="s">
        <v>913</v>
      </c>
      <c r="E73" s="1836"/>
      <c r="F73" s="1837"/>
      <c r="G73" s="1837"/>
      <c r="H73" s="1838"/>
      <c r="I73" s="1768"/>
      <c r="J73" s="1839"/>
      <c r="K73" s="1840"/>
      <c r="L73" s="1839"/>
      <c r="M73" s="1839"/>
      <c r="N73" s="1839"/>
      <c r="O73" s="1841"/>
      <c r="P73" s="1842"/>
      <c r="Q73" s="1843"/>
      <c r="R73" s="1844">
        <v>3510</v>
      </c>
      <c r="S73" s="1843"/>
      <c r="T73" s="1845">
        <f>SUM(P73:S73)</f>
        <v>3510</v>
      </c>
      <c r="U73" s="1846" t="s">
        <v>1049</v>
      </c>
      <c r="V73" s="1847">
        <f t="shared" si="51"/>
        <v>3510</v>
      </c>
      <c r="W73" s="1848">
        <f t="shared" si="52"/>
        <v>3162.1621621621621</v>
      </c>
      <c r="X73" s="1847">
        <f t="shared" si="53"/>
        <v>3510</v>
      </c>
      <c r="Y73" s="1848">
        <f t="shared" si="53"/>
        <v>3162.1621621621621</v>
      </c>
      <c r="Z73" s="1849" t="s">
        <v>1097</v>
      </c>
      <c r="AA73" s="1850">
        <v>1</v>
      </c>
      <c r="AB73" s="1851">
        <f>V73</f>
        <v>3510</v>
      </c>
      <c r="AC73" s="1851">
        <f t="shared" si="58"/>
        <v>3101.5286736767698</v>
      </c>
      <c r="AD73" s="1851">
        <f t="shared" si="59"/>
        <v>3510</v>
      </c>
      <c r="AE73" s="1851">
        <f t="shared" si="54"/>
        <v>3101.5286736767698</v>
      </c>
    </row>
    <row r="74" spans="1:31" ht="21" thickBot="1" x14ac:dyDescent="0.35">
      <c r="A74" s="224"/>
      <c r="B74" s="1852"/>
      <c r="C74" s="2268"/>
      <c r="D74" s="2274"/>
      <c r="E74" s="1853"/>
      <c r="F74" s="1854"/>
      <c r="G74" s="1854"/>
      <c r="H74" s="1855"/>
      <c r="I74" s="1768"/>
      <c r="J74" s="1856"/>
      <c r="K74" s="1857"/>
      <c r="L74" s="1856"/>
      <c r="M74" s="1856"/>
      <c r="N74" s="1856"/>
      <c r="O74" s="1858"/>
      <c r="P74" s="1859"/>
      <c r="Q74" s="1860"/>
      <c r="R74" s="1860"/>
      <c r="S74" s="1860"/>
      <c r="T74" s="1860"/>
      <c r="U74" s="1861"/>
      <c r="V74" s="1859"/>
      <c r="W74" s="1862"/>
      <c r="X74" s="1859"/>
      <c r="Y74" s="1861"/>
      <c r="Z74" s="1863"/>
      <c r="AA74" s="1857"/>
      <c r="AB74" s="1856"/>
      <c r="AC74" s="1856"/>
      <c r="AD74" s="1856"/>
      <c r="AE74" s="1856"/>
    </row>
    <row r="75" spans="1:31" ht="42" customHeight="1" thickBot="1" x14ac:dyDescent="0.35">
      <c r="A75" s="1751"/>
      <c r="B75" s="1864" t="s">
        <v>45</v>
      </c>
      <c r="C75" s="2144"/>
      <c r="D75" s="2276"/>
      <c r="E75" s="1865">
        <f>SUM(E66:E72)</f>
        <v>53516</v>
      </c>
      <c r="F75" s="1866">
        <f t="shared" ref="F75:H75" si="60">SUM(F66:F72)</f>
        <v>73046</v>
      </c>
      <c r="G75" s="1866">
        <f t="shared" si="60"/>
        <v>45106</v>
      </c>
      <c r="H75" s="1867">
        <f t="shared" si="60"/>
        <v>171668</v>
      </c>
      <c r="I75" s="1768"/>
      <c r="J75" s="1215"/>
      <c r="K75" s="1641"/>
      <c r="L75" s="1215"/>
      <c r="M75" s="1215"/>
      <c r="N75" s="1215">
        <f t="shared" ref="N75" si="61">SUM(N66:N74)</f>
        <v>171668</v>
      </c>
      <c r="O75" s="1473">
        <f>SUM(O66:O74)-0.38</f>
        <v>151689.99730847398</v>
      </c>
      <c r="P75" s="1425">
        <f>SUM(P66:P74)</f>
        <v>162420</v>
      </c>
      <c r="Q75" s="1519">
        <f t="shared" ref="Q75:Y75" si="62">SUM(Q66:Q74)</f>
        <v>101885</v>
      </c>
      <c r="R75" s="1519">
        <f t="shared" si="62"/>
        <v>53540</v>
      </c>
      <c r="S75" s="1519">
        <f t="shared" si="62"/>
        <v>64600</v>
      </c>
      <c r="T75" s="1519">
        <f t="shared" si="62"/>
        <v>382445</v>
      </c>
      <c r="U75" s="1520">
        <f t="shared" si="62"/>
        <v>0</v>
      </c>
      <c r="V75" s="1425">
        <f t="shared" si="62"/>
        <v>382445</v>
      </c>
      <c r="W75" s="1520">
        <f t="shared" si="62"/>
        <v>344545.04504504503</v>
      </c>
      <c r="X75" s="1425">
        <f t="shared" si="62"/>
        <v>210777</v>
      </c>
      <c r="Y75" s="1520">
        <f t="shared" si="62"/>
        <v>192854.66773657102</v>
      </c>
      <c r="Z75" s="1299"/>
      <c r="AA75" s="1641"/>
      <c r="AB75" s="1215"/>
      <c r="AC75" s="1215"/>
      <c r="AD75" s="1215">
        <f t="shared" ref="AD75:AE75" si="63">SUM(AD66:AD74)</f>
        <v>382445</v>
      </c>
      <c r="AE75" s="1215">
        <f t="shared" si="63"/>
        <v>337938.4996023681</v>
      </c>
    </row>
    <row r="76" spans="1:31" ht="20.25" x14ac:dyDescent="0.3">
      <c r="A76" s="224"/>
      <c r="B76" s="2350"/>
      <c r="C76" s="207"/>
      <c r="D76" s="2235"/>
      <c r="E76" s="1868"/>
      <c r="F76" s="1869"/>
      <c r="G76" s="1869"/>
      <c r="H76" s="1870"/>
      <c r="I76" s="1755"/>
      <c r="J76" s="1755"/>
      <c r="K76" s="1756"/>
      <c r="L76" s="1755"/>
      <c r="M76" s="1755"/>
      <c r="N76" s="1755"/>
      <c r="O76" s="1757"/>
      <c r="P76" s="1500"/>
      <c r="Q76" s="1304"/>
      <c r="R76" s="1304"/>
      <c r="S76" s="1304"/>
      <c r="T76" s="1304"/>
      <c r="U76" s="1758"/>
      <c r="V76" s="1759"/>
      <c r="W76" s="1871"/>
      <c r="X76" s="1759"/>
      <c r="Y76" s="1758"/>
      <c r="Z76" s="1760"/>
      <c r="AA76" s="1756"/>
      <c r="AB76" s="1755"/>
      <c r="AC76" s="1755"/>
      <c r="AD76" s="1755"/>
      <c r="AE76" s="1755"/>
    </row>
    <row r="77" spans="1:31" ht="57.75" customHeight="1" x14ac:dyDescent="0.3">
      <c r="A77" s="1092">
        <v>2.2999999999999998</v>
      </c>
      <c r="B77" s="1097" t="s">
        <v>103</v>
      </c>
      <c r="C77" s="1098"/>
      <c r="D77" s="982"/>
      <c r="E77" s="1868"/>
      <c r="F77" s="1869"/>
      <c r="G77" s="1869"/>
      <c r="H77" s="1870"/>
      <c r="I77" s="1768"/>
      <c r="J77" s="1872"/>
      <c r="K77" s="1873"/>
      <c r="L77" s="1872"/>
      <c r="M77" s="1872"/>
      <c r="N77" s="1872"/>
      <c r="O77" s="1467"/>
      <c r="P77" s="1874"/>
      <c r="Q77" s="1875"/>
      <c r="R77" s="1875"/>
      <c r="S77" s="1875"/>
      <c r="T77" s="1875"/>
      <c r="U77" s="1876"/>
      <c r="V77" s="1874"/>
      <c r="W77" s="1877"/>
      <c r="X77" s="1874"/>
      <c r="Y77" s="1876"/>
      <c r="Z77" s="1390"/>
      <c r="AA77" s="1873"/>
      <c r="AB77" s="1872"/>
      <c r="AC77" s="1872"/>
      <c r="AD77" s="1872"/>
      <c r="AE77" s="1872"/>
    </row>
    <row r="78" spans="1:31" ht="73.5" customHeight="1" x14ac:dyDescent="0.3">
      <c r="A78" s="305"/>
      <c r="B78" s="984"/>
      <c r="C78" s="2277" t="s">
        <v>104</v>
      </c>
      <c r="D78" s="2280" t="s">
        <v>105</v>
      </c>
      <c r="E78" s="1879">
        <f>4000</f>
        <v>4000</v>
      </c>
      <c r="F78" s="1880"/>
      <c r="G78" s="1880"/>
      <c r="H78" s="1870">
        <f t="shared" ref="H78:H80" si="64">SUM(E78:G78)</f>
        <v>4000</v>
      </c>
      <c r="I78" s="1881" t="s">
        <v>106</v>
      </c>
      <c r="J78" s="1851" t="s">
        <v>1000</v>
      </c>
      <c r="K78" s="1850">
        <v>10</v>
      </c>
      <c r="L78" s="1851">
        <f>H78/10</f>
        <v>400</v>
      </c>
      <c r="M78" s="1851">
        <f>L78/1.1317</f>
        <v>353.45056110276579</v>
      </c>
      <c r="N78" s="1851">
        <f>K78*L78</f>
        <v>4000</v>
      </c>
      <c r="O78" s="1882">
        <f t="shared" ref="O78:O80" si="65">N78/1.1317</f>
        <v>3534.5056110276578</v>
      </c>
      <c r="P78" s="1883"/>
      <c r="Q78" s="1845"/>
      <c r="R78" s="1845"/>
      <c r="S78" s="1845"/>
      <c r="T78" s="1845"/>
      <c r="U78" s="1884"/>
      <c r="V78" s="1883"/>
      <c r="W78" s="1848"/>
      <c r="X78" s="1883"/>
      <c r="Y78" s="1884"/>
      <c r="Z78" s="1849"/>
      <c r="AA78" s="1850"/>
      <c r="AB78" s="1851"/>
      <c r="AC78" s="1851"/>
      <c r="AD78" s="1851"/>
      <c r="AE78" s="1851"/>
    </row>
    <row r="79" spans="1:31" ht="71.25" customHeight="1" x14ac:dyDescent="0.3">
      <c r="A79" s="224"/>
      <c r="B79" s="1092"/>
      <c r="C79" s="2277" t="s">
        <v>107</v>
      </c>
      <c r="D79" s="2280" t="s">
        <v>471</v>
      </c>
      <c r="E79" s="1868">
        <f>1200</f>
        <v>1200</v>
      </c>
      <c r="F79" s="1869"/>
      <c r="G79" s="1869"/>
      <c r="H79" s="1870">
        <f t="shared" si="64"/>
        <v>1200</v>
      </c>
      <c r="I79" s="1881" t="s">
        <v>109</v>
      </c>
      <c r="J79" s="1851" t="s">
        <v>993</v>
      </c>
      <c r="K79" s="1850">
        <v>30</v>
      </c>
      <c r="L79" s="1851">
        <f>H79/30</f>
        <v>40</v>
      </c>
      <c r="M79" s="1851">
        <f t="shared" ref="M79:M80" si="66">L79/1.1317</f>
        <v>35.34505611027658</v>
      </c>
      <c r="N79" s="1851">
        <f t="shared" ref="N79:N80" si="67">K79*L79</f>
        <v>1200</v>
      </c>
      <c r="O79" s="1882">
        <f t="shared" si="65"/>
        <v>1060.3516833082974</v>
      </c>
      <c r="P79" s="1885"/>
      <c r="Q79" s="1844"/>
      <c r="R79" s="1844">
        <f>5750</f>
        <v>5750</v>
      </c>
      <c r="S79" s="1844"/>
      <c r="T79" s="1845">
        <f t="shared" ref="T79" si="68">SUM(P79:S79)</f>
        <v>5750</v>
      </c>
      <c r="U79" s="1846" t="s">
        <v>1050</v>
      </c>
      <c r="V79" s="1847">
        <f>P79+Q79+R79+S79</f>
        <v>5750</v>
      </c>
      <c r="W79" s="1848">
        <f>V79/1.11</f>
        <v>5180.1801801801794</v>
      </c>
      <c r="X79" s="1847">
        <f>V79-N79</f>
        <v>4550</v>
      </c>
      <c r="Y79" s="1848">
        <f>W79-O79</f>
        <v>4119.8284968718817</v>
      </c>
      <c r="Z79" s="1849" t="s">
        <v>993</v>
      </c>
      <c r="AA79" s="1850">
        <v>200</v>
      </c>
      <c r="AB79" s="1851">
        <f>V79/200</f>
        <v>28.75</v>
      </c>
      <c r="AC79" s="1851">
        <f>AB79/1.1317</f>
        <v>25.404259079261291</v>
      </c>
      <c r="AD79" s="1851">
        <f>AA79*AB79</f>
        <v>5750</v>
      </c>
      <c r="AE79" s="1851">
        <f t="shared" ref="AE79" si="69">AD79/1.1317</f>
        <v>5080.8518158522584</v>
      </c>
    </row>
    <row r="80" spans="1:31" ht="71.25" customHeight="1" x14ac:dyDescent="0.3">
      <c r="A80" s="224"/>
      <c r="B80" s="1092"/>
      <c r="C80" s="2278" t="s">
        <v>914</v>
      </c>
      <c r="D80" s="2281" t="s">
        <v>978</v>
      </c>
      <c r="E80" s="1886"/>
      <c r="F80" s="1887">
        <f>14000</f>
        <v>14000</v>
      </c>
      <c r="G80" s="1869"/>
      <c r="H80" s="1870">
        <f t="shared" si="64"/>
        <v>14000</v>
      </c>
      <c r="I80" s="1881" t="s">
        <v>110</v>
      </c>
      <c r="J80" s="1851" t="s">
        <v>993</v>
      </c>
      <c r="K80" s="1850">
        <v>350</v>
      </c>
      <c r="L80" s="1851">
        <f>H80/350</f>
        <v>40</v>
      </c>
      <c r="M80" s="1851">
        <f t="shared" si="66"/>
        <v>35.34505611027658</v>
      </c>
      <c r="N80" s="1851">
        <f t="shared" si="67"/>
        <v>14000</v>
      </c>
      <c r="O80" s="1882">
        <f t="shared" si="65"/>
        <v>12370.769638596803</v>
      </c>
      <c r="P80" s="1885"/>
      <c r="Q80" s="1844"/>
      <c r="R80" s="1844"/>
      <c r="S80" s="1844"/>
      <c r="T80" s="1845"/>
      <c r="U80" s="1846"/>
      <c r="V80" s="1847"/>
      <c r="W80" s="1848"/>
      <c r="X80" s="1847"/>
      <c r="Y80" s="1848"/>
      <c r="Z80" s="1849"/>
      <c r="AA80" s="1850"/>
      <c r="AB80" s="1851"/>
      <c r="AC80" s="1851"/>
      <c r="AD80" s="1851"/>
      <c r="AE80" s="1851"/>
    </row>
    <row r="81" spans="1:31" ht="21" thickBot="1" x14ac:dyDescent="0.35">
      <c r="A81" s="224"/>
      <c r="B81" s="1888"/>
      <c r="C81" s="2268"/>
      <c r="D81" s="2250"/>
      <c r="E81" s="1889"/>
      <c r="F81" s="1890"/>
      <c r="G81" s="1890"/>
      <c r="H81" s="1891"/>
      <c r="I81" s="1881"/>
      <c r="J81" s="1856"/>
      <c r="K81" s="1857"/>
      <c r="L81" s="1856"/>
      <c r="M81" s="1856"/>
      <c r="N81" s="1856"/>
      <c r="O81" s="1858"/>
      <c r="P81" s="1892"/>
      <c r="Q81" s="1893"/>
      <c r="R81" s="1893"/>
      <c r="S81" s="1893"/>
      <c r="T81" s="1893"/>
      <c r="U81" s="1894"/>
      <c r="V81" s="1895"/>
      <c r="W81" s="1862"/>
      <c r="X81" s="1895"/>
      <c r="Y81" s="1862"/>
      <c r="Z81" s="1863"/>
      <c r="AA81" s="1857"/>
      <c r="AB81" s="1856"/>
      <c r="AC81" s="1856"/>
      <c r="AD81" s="1856"/>
      <c r="AE81" s="1856"/>
    </row>
    <row r="82" spans="1:31" ht="31.5" customHeight="1" thickBot="1" x14ac:dyDescent="0.35">
      <c r="A82" s="320"/>
      <c r="B82" s="1896" t="s">
        <v>45</v>
      </c>
      <c r="C82" s="2279"/>
      <c r="D82" s="2282">
        <f>SUM(D81:D81)</f>
        <v>0</v>
      </c>
      <c r="E82" s="1897">
        <f>SUM(E78:E80)</f>
        <v>5200</v>
      </c>
      <c r="F82" s="1898">
        <f t="shared" ref="F82:H82" si="70">SUM(F78:F80)</f>
        <v>14000</v>
      </c>
      <c r="G82" s="1898">
        <f t="shared" si="70"/>
        <v>0</v>
      </c>
      <c r="H82" s="1899">
        <f t="shared" si="70"/>
        <v>19200</v>
      </c>
      <c r="I82" s="1900"/>
      <c r="J82" s="1900"/>
      <c r="K82" s="1901"/>
      <c r="L82" s="1900"/>
      <c r="M82" s="1900"/>
      <c r="N82" s="1900">
        <f t="shared" ref="N82" si="71">SUM(N78:N80)</f>
        <v>19200</v>
      </c>
      <c r="O82" s="1902">
        <f>SUM(O78:O80)+0.37</f>
        <v>16965.996932932758</v>
      </c>
      <c r="P82" s="1903">
        <f>SUM(P79:P81)</f>
        <v>0</v>
      </c>
      <c r="Q82" s="1904">
        <f t="shared" ref="Q82:T82" si="72">SUM(Q79:Q81)</f>
        <v>0</v>
      </c>
      <c r="R82" s="1904">
        <f t="shared" si="72"/>
        <v>5750</v>
      </c>
      <c r="S82" s="1904">
        <f t="shared" si="72"/>
        <v>0</v>
      </c>
      <c r="T82" s="1904">
        <f t="shared" si="72"/>
        <v>5750</v>
      </c>
      <c r="U82" s="1905">
        <f>SUM(U79:U81)</f>
        <v>0</v>
      </c>
      <c r="V82" s="1903">
        <f t="shared" ref="V82:Y82" si="73">SUM(V79:V81)</f>
        <v>5750</v>
      </c>
      <c r="W82" s="1905">
        <f t="shared" si="73"/>
        <v>5180.1801801801794</v>
      </c>
      <c r="X82" s="1903">
        <f t="shared" si="73"/>
        <v>4550</v>
      </c>
      <c r="Y82" s="1905">
        <f t="shared" si="73"/>
        <v>4119.8284968718817</v>
      </c>
      <c r="Z82" s="1906"/>
      <c r="AA82" s="1901">
        <f t="shared" ref="AA82:AE82" si="74">SUM(AA79:AA81)</f>
        <v>200</v>
      </c>
      <c r="AB82" s="1900">
        <f t="shared" si="74"/>
        <v>28.75</v>
      </c>
      <c r="AC82" s="1900">
        <f t="shared" si="74"/>
        <v>25.404259079261291</v>
      </c>
      <c r="AD82" s="1900">
        <f t="shared" si="74"/>
        <v>5750</v>
      </c>
      <c r="AE82" s="1900">
        <f t="shared" si="74"/>
        <v>5080.8518158522584</v>
      </c>
    </row>
    <row r="83" spans="1:31" ht="20.25" x14ac:dyDescent="0.3">
      <c r="A83" s="224"/>
      <c r="B83" s="1810"/>
      <c r="C83" s="1616"/>
      <c r="D83" s="1610"/>
      <c r="E83" s="1752"/>
      <c r="F83" s="1753"/>
      <c r="G83" s="1753"/>
      <c r="H83" s="1754"/>
      <c r="I83" s="1881"/>
      <c r="J83" s="1755"/>
      <c r="K83" s="1756"/>
      <c r="L83" s="1755"/>
      <c r="M83" s="1755"/>
      <c r="N83" s="1755"/>
      <c r="O83" s="1757"/>
      <c r="P83" s="1698"/>
      <c r="Q83" s="1699"/>
      <c r="R83" s="1699"/>
      <c r="S83" s="1699"/>
      <c r="T83" s="1699"/>
      <c r="U83" s="1811"/>
      <c r="V83" s="1812"/>
      <c r="W83" s="1813"/>
      <c r="X83" s="1812"/>
      <c r="Y83" s="1811"/>
      <c r="Z83" s="1814"/>
      <c r="AA83" s="1815"/>
      <c r="AB83" s="1816"/>
      <c r="AC83" s="1816"/>
      <c r="AD83" s="1816"/>
      <c r="AE83" s="1816"/>
    </row>
    <row r="84" spans="1:31" ht="39" customHeight="1" x14ac:dyDescent="0.3">
      <c r="A84" s="299">
        <v>2.4</v>
      </c>
      <c r="B84" s="2706" t="s">
        <v>111</v>
      </c>
      <c r="C84" s="2707"/>
      <c r="D84" s="2707"/>
      <c r="E84" s="1907"/>
      <c r="F84" s="1908"/>
      <c r="G84" s="1908"/>
      <c r="H84" s="1909"/>
      <c r="I84" s="1881"/>
      <c r="J84" s="1872"/>
      <c r="K84" s="1873"/>
      <c r="L84" s="1872"/>
      <c r="M84" s="1872"/>
      <c r="N84" s="1872"/>
      <c r="O84" s="1467"/>
      <c r="P84" s="1883"/>
      <c r="Q84" s="1845"/>
      <c r="R84" s="1845"/>
      <c r="S84" s="1845"/>
      <c r="T84" s="1845"/>
      <c r="U84" s="1911"/>
      <c r="V84" s="1912"/>
      <c r="W84" s="1913"/>
      <c r="X84" s="1912"/>
      <c r="Y84" s="1911"/>
      <c r="Z84" s="1390"/>
      <c r="AA84" s="1914"/>
      <c r="AB84" s="1915"/>
      <c r="AC84" s="1915"/>
      <c r="AD84" s="1915"/>
      <c r="AE84" s="1915"/>
    </row>
    <row r="85" spans="1:31" ht="93" customHeight="1" x14ac:dyDescent="0.3">
      <c r="A85" s="224"/>
      <c r="B85" s="1916"/>
      <c r="C85" s="2283" t="s">
        <v>114</v>
      </c>
      <c r="D85" s="2280" t="s">
        <v>903</v>
      </c>
      <c r="E85" s="1868">
        <f>30000</f>
        <v>30000</v>
      </c>
      <c r="F85" s="1869">
        <f>25500</f>
        <v>25500</v>
      </c>
      <c r="G85" s="1869"/>
      <c r="H85" s="1870">
        <f t="shared" ref="H85:H112" si="75">SUM(E85:G85)</f>
        <v>55500</v>
      </c>
      <c r="I85" s="1881" t="s">
        <v>113</v>
      </c>
      <c r="J85" s="1851" t="s">
        <v>993</v>
      </c>
      <c r="K85" s="1850">
        <v>45</v>
      </c>
      <c r="L85" s="1851">
        <f>H85/45</f>
        <v>1233.3333333333333</v>
      </c>
      <c r="M85" s="1851">
        <f t="shared" ref="M85:M112" si="76">L85/1.1317</f>
        <v>1089.8058967335278</v>
      </c>
      <c r="N85" s="1851">
        <f t="shared" ref="N85:N112" si="77">K85*L85</f>
        <v>55500</v>
      </c>
      <c r="O85" s="1882">
        <f t="shared" ref="O85:O112" si="78">N85/1.1317</f>
        <v>49041.265353008748</v>
      </c>
      <c r="P85" s="1885">
        <f>35010</f>
        <v>35010</v>
      </c>
      <c r="Q85" s="1844">
        <v>48550</v>
      </c>
      <c r="R85" s="1844">
        <f>2580</f>
        <v>2580</v>
      </c>
      <c r="S85" s="1844"/>
      <c r="T85" s="1845">
        <f t="shared" ref="T85:T112" si="79">SUM(P85:S85)</f>
        <v>86140</v>
      </c>
      <c r="U85" s="1846" t="s">
        <v>1051</v>
      </c>
      <c r="V85" s="1847">
        <f t="shared" ref="V85:V96" si="80">P85+Q85+R85+S85</f>
        <v>86140</v>
      </c>
      <c r="W85" s="1848">
        <f t="shared" ref="W85:W111" si="81">V85/1.11</f>
        <v>77603.603603603595</v>
      </c>
      <c r="X85" s="1847">
        <f t="shared" ref="X85:X112" si="82">V85-N85</f>
        <v>30640</v>
      </c>
      <c r="Y85" s="1848">
        <f t="shared" ref="Y85:Y112" si="83">W85-O85</f>
        <v>28562.338250594847</v>
      </c>
      <c r="Z85" s="1849" t="s">
        <v>993</v>
      </c>
      <c r="AA85" s="1850">
        <v>90</v>
      </c>
      <c r="AB85" s="1851">
        <f>V85/90</f>
        <v>957.11111111111109</v>
      </c>
      <c r="AC85" s="1851">
        <f t="shared" ref="AC85:AC112" si="84">AB85/1.1317</f>
        <v>845.72864814978448</v>
      </c>
      <c r="AD85" s="1851">
        <f t="shared" ref="AD85:AD151" si="85">AA85*AB85</f>
        <v>86140</v>
      </c>
      <c r="AE85" s="1851">
        <f t="shared" ref="AE85:AE112" si="86">AD85/1.1317</f>
        <v>76115.578333480604</v>
      </c>
    </row>
    <row r="86" spans="1:31" ht="62.25" customHeight="1" x14ac:dyDescent="0.3">
      <c r="A86" s="224"/>
      <c r="B86" s="1917"/>
      <c r="C86" s="2283" t="s">
        <v>473</v>
      </c>
      <c r="D86" s="2280" t="s">
        <v>474</v>
      </c>
      <c r="E86" s="1868"/>
      <c r="F86" s="1869"/>
      <c r="G86" s="1869"/>
      <c r="H86" s="1870">
        <f t="shared" si="75"/>
        <v>0</v>
      </c>
      <c r="I86" s="1881"/>
      <c r="J86" s="1851"/>
      <c r="K86" s="1850">
        <v>0</v>
      </c>
      <c r="L86" s="1851">
        <f t="shared" ref="L86:L112" si="87">H86/30</f>
        <v>0</v>
      </c>
      <c r="M86" s="1851">
        <f t="shared" si="76"/>
        <v>0</v>
      </c>
      <c r="N86" s="1851">
        <f t="shared" si="77"/>
        <v>0</v>
      </c>
      <c r="O86" s="1882">
        <f t="shared" si="78"/>
        <v>0</v>
      </c>
      <c r="P86" s="1885"/>
      <c r="Q86" s="1844"/>
      <c r="R86" s="1844">
        <v>5400</v>
      </c>
      <c r="S86" s="1844"/>
      <c r="T86" s="1845">
        <f t="shared" si="79"/>
        <v>5400</v>
      </c>
      <c r="U86" s="1846" t="s">
        <v>475</v>
      </c>
      <c r="V86" s="1847">
        <f t="shared" si="80"/>
        <v>5400</v>
      </c>
      <c r="W86" s="1848">
        <f t="shared" si="81"/>
        <v>4864.8648648648641</v>
      </c>
      <c r="X86" s="1847">
        <f t="shared" si="82"/>
        <v>5400</v>
      </c>
      <c r="Y86" s="1848">
        <f t="shared" si="83"/>
        <v>4864.8648648648641</v>
      </c>
      <c r="Z86" s="1849" t="s">
        <v>1009</v>
      </c>
      <c r="AA86" s="1850">
        <v>45</v>
      </c>
      <c r="AB86" s="1851">
        <f>V86/45</f>
        <v>120</v>
      </c>
      <c r="AC86" s="1851">
        <f t="shared" si="84"/>
        <v>106.03516833082973</v>
      </c>
      <c r="AD86" s="1851">
        <f t="shared" si="85"/>
        <v>5400</v>
      </c>
      <c r="AE86" s="1851">
        <f t="shared" si="86"/>
        <v>4771.5825748873376</v>
      </c>
    </row>
    <row r="87" spans="1:31" ht="57" customHeight="1" x14ac:dyDescent="0.3">
      <c r="A87" s="224"/>
      <c r="B87" s="1092"/>
      <c r="C87" s="2283" t="s">
        <v>116</v>
      </c>
      <c r="D87" s="2280" t="s">
        <v>476</v>
      </c>
      <c r="E87" s="1868">
        <f>7875</f>
        <v>7875</v>
      </c>
      <c r="F87" s="1869">
        <f>7875</f>
        <v>7875</v>
      </c>
      <c r="G87" s="1869">
        <f>7875</f>
        <v>7875</v>
      </c>
      <c r="H87" s="1870">
        <f t="shared" si="75"/>
        <v>23625</v>
      </c>
      <c r="I87" s="1881" t="s">
        <v>117</v>
      </c>
      <c r="J87" s="1851" t="s">
        <v>993</v>
      </c>
      <c r="K87" s="1850">
        <v>45</v>
      </c>
      <c r="L87" s="1851">
        <f>H87/45</f>
        <v>525</v>
      </c>
      <c r="M87" s="1851">
        <f t="shared" si="76"/>
        <v>463.90386144738005</v>
      </c>
      <c r="N87" s="1851">
        <f t="shared" si="77"/>
        <v>23625</v>
      </c>
      <c r="O87" s="1882">
        <f t="shared" si="78"/>
        <v>20875.673765132102</v>
      </c>
      <c r="P87" s="1885"/>
      <c r="Q87" s="1844">
        <v>3052</v>
      </c>
      <c r="R87" s="1844"/>
      <c r="S87" s="1844"/>
      <c r="T87" s="1845">
        <f t="shared" si="79"/>
        <v>3052</v>
      </c>
      <c r="U87" s="1846" t="s">
        <v>767</v>
      </c>
      <c r="V87" s="1847">
        <f t="shared" si="80"/>
        <v>3052</v>
      </c>
      <c r="W87" s="1848">
        <f t="shared" si="81"/>
        <v>2749.5495495495493</v>
      </c>
      <c r="X87" s="1847">
        <f t="shared" si="82"/>
        <v>-20573</v>
      </c>
      <c r="Y87" s="1848">
        <f t="shared" si="83"/>
        <v>-18126.124215582553</v>
      </c>
      <c r="Z87" s="1849" t="s">
        <v>993</v>
      </c>
      <c r="AA87" s="1850">
        <v>45</v>
      </c>
      <c r="AB87" s="1851">
        <f>V87/45</f>
        <v>67.822222222222223</v>
      </c>
      <c r="AC87" s="1851">
        <f t="shared" si="84"/>
        <v>59.929506249202284</v>
      </c>
      <c r="AD87" s="1851">
        <f t="shared" si="85"/>
        <v>3052</v>
      </c>
      <c r="AE87" s="1851">
        <f t="shared" si="86"/>
        <v>2696.8277812141027</v>
      </c>
    </row>
    <row r="88" spans="1:31" ht="57" customHeight="1" x14ac:dyDescent="0.3">
      <c r="A88" s="224"/>
      <c r="B88" s="7"/>
      <c r="C88" s="2283" t="s">
        <v>477</v>
      </c>
      <c r="D88" s="2280" t="s">
        <v>119</v>
      </c>
      <c r="E88" s="1868">
        <f>10000</f>
        <v>10000</v>
      </c>
      <c r="F88" s="1869"/>
      <c r="G88" s="1869"/>
      <c r="H88" s="1870">
        <f t="shared" si="75"/>
        <v>10000</v>
      </c>
      <c r="I88" s="1881" t="s">
        <v>120</v>
      </c>
      <c r="J88" s="1851" t="s">
        <v>1001</v>
      </c>
      <c r="K88" s="1850">
        <v>25</v>
      </c>
      <c r="L88" s="1851">
        <f>H88/25</f>
        <v>400</v>
      </c>
      <c r="M88" s="1851">
        <f t="shared" si="76"/>
        <v>353.45056110276579</v>
      </c>
      <c r="N88" s="1851">
        <f t="shared" si="77"/>
        <v>10000</v>
      </c>
      <c r="O88" s="1882">
        <f t="shared" si="78"/>
        <v>8836.2640275691447</v>
      </c>
      <c r="P88" s="1885">
        <v>590</v>
      </c>
      <c r="Q88" s="1844"/>
      <c r="R88" s="1844"/>
      <c r="S88" s="1844">
        <f>10000</f>
        <v>10000</v>
      </c>
      <c r="T88" s="1845">
        <f t="shared" si="79"/>
        <v>10590</v>
      </c>
      <c r="U88" s="1846" t="s">
        <v>479</v>
      </c>
      <c r="V88" s="1847">
        <f t="shared" si="80"/>
        <v>10590</v>
      </c>
      <c r="W88" s="1848">
        <f t="shared" si="81"/>
        <v>9540.54054054054</v>
      </c>
      <c r="X88" s="1847">
        <f t="shared" si="82"/>
        <v>590</v>
      </c>
      <c r="Y88" s="1848">
        <f t="shared" si="83"/>
        <v>704.27651297139528</v>
      </c>
      <c r="Z88" s="1849" t="s">
        <v>1001</v>
      </c>
      <c r="AA88" s="1850">
        <v>2</v>
      </c>
      <c r="AB88" s="1851">
        <f>V88/2</f>
        <v>5295</v>
      </c>
      <c r="AC88" s="1851">
        <f t="shared" si="84"/>
        <v>4678.8018025978618</v>
      </c>
      <c r="AD88" s="1851">
        <f t="shared" si="85"/>
        <v>10590</v>
      </c>
      <c r="AE88" s="1851">
        <f t="shared" si="86"/>
        <v>9357.6036051957235</v>
      </c>
    </row>
    <row r="89" spans="1:31" ht="42" customHeight="1" x14ac:dyDescent="0.3">
      <c r="A89" s="224"/>
      <c r="B89" s="7"/>
      <c r="C89" s="2284" t="s">
        <v>858</v>
      </c>
      <c r="D89" s="2280" t="s">
        <v>669</v>
      </c>
      <c r="E89" s="1868"/>
      <c r="F89" s="1869"/>
      <c r="G89" s="1869"/>
      <c r="H89" s="1870">
        <f t="shared" si="75"/>
        <v>0</v>
      </c>
      <c r="I89" s="1918"/>
      <c r="J89" s="1851"/>
      <c r="K89" s="1850">
        <v>0</v>
      </c>
      <c r="L89" s="1851">
        <f t="shared" si="87"/>
        <v>0</v>
      </c>
      <c r="M89" s="1851">
        <f t="shared" si="76"/>
        <v>0</v>
      </c>
      <c r="N89" s="1851">
        <f t="shared" si="77"/>
        <v>0</v>
      </c>
      <c r="O89" s="1882">
        <f t="shared" si="78"/>
        <v>0</v>
      </c>
      <c r="P89" s="1919"/>
      <c r="Q89" s="1920"/>
      <c r="R89" s="1920"/>
      <c r="S89" s="1920">
        <v>5000</v>
      </c>
      <c r="T89" s="1845">
        <f t="shared" si="79"/>
        <v>5000</v>
      </c>
      <c r="U89" s="1846" t="s">
        <v>670</v>
      </c>
      <c r="V89" s="1847">
        <f t="shared" si="80"/>
        <v>5000</v>
      </c>
      <c r="W89" s="1848">
        <f>V89/1.11</f>
        <v>4504.5045045045044</v>
      </c>
      <c r="X89" s="1847">
        <f t="shared" si="82"/>
        <v>5000</v>
      </c>
      <c r="Y89" s="1848">
        <f t="shared" si="83"/>
        <v>4504.5045045045044</v>
      </c>
      <c r="Z89" s="1849" t="s">
        <v>1001</v>
      </c>
      <c r="AA89" s="1850">
        <v>10</v>
      </c>
      <c r="AB89" s="1851">
        <f>V89/10</f>
        <v>500</v>
      </c>
      <c r="AC89" s="1851">
        <f t="shared" si="84"/>
        <v>441.81320137845722</v>
      </c>
      <c r="AD89" s="1851">
        <f>AA89*AB89</f>
        <v>5000</v>
      </c>
      <c r="AE89" s="1851">
        <f t="shared" si="86"/>
        <v>4418.1320137845723</v>
      </c>
    </row>
    <row r="90" spans="1:31" ht="56.25" customHeight="1" x14ac:dyDescent="0.3">
      <c r="A90" s="224"/>
      <c r="B90" s="7"/>
      <c r="C90" s="2283" t="s">
        <v>859</v>
      </c>
      <c r="D90" s="2280" t="s">
        <v>671</v>
      </c>
      <c r="E90" s="1868"/>
      <c r="F90" s="1869"/>
      <c r="G90" s="1869"/>
      <c r="H90" s="1870">
        <f t="shared" si="75"/>
        <v>0</v>
      </c>
      <c r="I90" s="1918"/>
      <c r="J90" s="1851"/>
      <c r="K90" s="1850">
        <v>0</v>
      </c>
      <c r="L90" s="1851">
        <f t="shared" si="87"/>
        <v>0</v>
      </c>
      <c r="M90" s="1851">
        <f t="shared" si="76"/>
        <v>0</v>
      </c>
      <c r="N90" s="1851">
        <f t="shared" si="77"/>
        <v>0</v>
      </c>
      <c r="O90" s="1882">
        <f t="shared" si="78"/>
        <v>0</v>
      </c>
      <c r="P90" s="1919"/>
      <c r="Q90" s="1920"/>
      <c r="R90" s="1920"/>
      <c r="S90" s="1920">
        <v>22500</v>
      </c>
      <c r="T90" s="1845">
        <f t="shared" si="79"/>
        <v>22500</v>
      </c>
      <c r="U90" s="1846" t="s">
        <v>873</v>
      </c>
      <c r="V90" s="1847">
        <f t="shared" si="80"/>
        <v>22500</v>
      </c>
      <c r="W90" s="1848">
        <f>V90/1.11</f>
        <v>20270.27027027027</v>
      </c>
      <c r="X90" s="1847">
        <f t="shared" si="82"/>
        <v>22500</v>
      </c>
      <c r="Y90" s="1848">
        <f t="shared" si="83"/>
        <v>20270.27027027027</v>
      </c>
      <c r="Z90" s="1849" t="s">
        <v>993</v>
      </c>
      <c r="AA90" s="1850">
        <v>50</v>
      </c>
      <c r="AB90" s="1851">
        <f>V90/50</f>
        <v>450</v>
      </c>
      <c r="AC90" s="1851">
        <f t="shared" si="84"/>
        <v>397.63188124061151</v>
      </c>
      <c r="AD90" s="1851">
        <f>AA90*AB90</f>
        <v>22500</v>
      </c>
      <c r="AE90" s="1851">
        <f t="shared" si="86"/>
        <v>19881.594062030574</v>
      </c>
    </row>
    <row r="91" spans="1:31" ht="62.25" customHeight="1" x14ac:dyDescent="0.3">
      <c r="A91" s="224"/>
      <c r="B91" s="7"/>
      <c r="C91" s="2285" t="s">
        <v>860</v>
      </c>
      <c r="D91" s="2280" t="s">
        <v>478</v>
      </c>
      <c r="E91" s="1868"/>
      <c r="F91" s="1869"/>
      <c r="G91" s="1869"/>
      <c r="H91" s="1870">
        <f t="shared" si="75"/>
        <v>0</v>
      </c>
      <c r="I91" s="1918"/>
      <c r="J91" s="1851"/>
      <c r="K91" s="1850">
        <v>0</v>
      </c>
      <c r="L91" s="1851">
        <f t="shared" si="87"/>
        <v>0</v>
      </c>
      <c r="M91" s="1851">
        <f t="shared" si="76"/>
        <v>0</v>
      </c>
      <c r="N91" s="1851">
        <f t="shared" si="77"/>
        <v>0</v>
      </c>
      <c r="O91" s="1882">
        <f t="shared" si="78"/>
        <v>0</v>
      </c>
      <c r="P91" s="1885"/>
      <c r="Q91" s="1844"/>
      <c r="R91" s="1920">
        <f>7500</f>
        <v>7500</v>
      </c>
      <c r="S91" s="1920"/>
      <c r="T91" s="1845">
        <f t="shared" si="79"/>
        <v>7500</v>
      </c>
      <c r="U91" s="1846" t="s">
        <v>1063</v>
      </c>
      <c r="V91" s="1847">
        <f t="shared" si="80"/>
        <v>7500</v>
      </c>
      <c r="W91" s="1848">
        <f t="shared" ref="W91" si="88">V91/1.11</f>
        <v>6756.7567567567557</v>
      </c>
      <c r="X91" s="1847">
        <f t="shared" si="82"/>
        <v>7500</v>
      </c>
      <c r="Y91" s="1848">
        <f t="shared" si="83"/>
        <v>6756.7567567567557</v>
      </c>
      <c r="Z91" s="1849" t="s">
        <v>1098</v>
      </c>
      <c r="AA91" s="1850">
        <v>4</v>
      </c>
      <c r="AB91" s="1851">
        <f>V91/4</f>
        <v>1875</v>
      </c>
      <c r="AC91" s="1851">
        <f t="shared" si="84"/>
        <v>1656.7995051692146</v>
      </c>
      <c r="AD91" s="1851">
        <f>AA91*AB91</f>
        <v>7500</v>
      </c>
      <c r="AE91" s="1851">
        <f t="shared" si="86"/>
        <v>6627.1980206768585</v>
      </c>
    </row>
    <row r="92" spans="1:31" ht="64.5" customHeight="1" x14ac:dyDescent="0.3">
      <c r="A92" s="224"/>
      <c r="B92" s="7"/>
      <c r="C92" s="2283" t="s">
        <v>861</v>
      </c>
      <c r="D92" s="2280" t="s">
        <v>482</v>
      </c>
      <c r="E92" s="1868"/>
      <c r="F92" s="1869"/>
      <c r="G92" s="1869"/>
      <c r="H92" s="1870">
        <f t="shared" si="75"/>
        <v>0</v>
      </c>
      <c r="I92" s="1918"/>
      <c r="J92" s="1851"/>
      <c r="K92" s="1850">
        <v>0</v>
      </c>
      <c r="L92" s="1851">
        <f t="shared" si="87"/>
        <v>0</v>
      </c>
      <c r="M92" s="1851">
        <f t="shared" si="76"/>
        <v>0</v>
      </c>
      <c r="N92" s="1851">
        <f t="shared" si="77"/>
        <v>0</v>
      </c>
      <c r="O92" s="1882">
        <f t="shared" si="78"/>
        <v>0</v>
      </c>
      <c r="P92" s="1885"/>
      <c r="Q92" s="1844"/>
      <c r="R92" s="1844">
        <f>10000</f>
        <v>10000</v>
      </c>
      <c r="S92" s="1844"/>
      <c r="T92" s="1845">
        <f t="shared" si="79"/>
        <v>10000</v>
      </c>
      <c r="U92" s="1846" t="s">
        <v>483</v>
      </c>
      <c r="V92" s="1847">
        <f t="shared" si="80"/>
        <v>10000</v>
      </c>
      <c r="W92" s="1848">
        <f t="shared" si="81"/>
        <v>9009.0090090090089</v>
      </c>
      <c r="X92" s="1847">
        <f t="shared" si="82"/>
        <v>10000</v>
      </c>
      <c r="Y92" s="1848">
        <f t="shared" si="83"/>
        <v>9009.0090090090089</v>
      </c>
      <c r="Z92" s="1849" t="s">
        <v>1099</v>
      </c>
      <c r="AA92" s="1850">
        <v>50</v>
      </c>
      <c r="AB92" s="1851">
        <f>V92/50</f>
        <v>200</v>
      </c>
      <c r="AC92" s="1851">
        <f t="shared" si="84"/>
        <v>176.72528055138289</v>
      </c>
      <c r="AD92" s="1851">
        <f t="shared" si="85"/>
        <v>10000</v>
      </c>
      <c r="AE92" s="1851">
        <f t="shared" si="86"/>
        <v>8836.2640275691447</v>
      </c>
    </row>
    <row r="93" spans="1:31" ht="57" customHeight="1" x14ac:dyDescent="0.3">
      <c r="A93" s="224"/>
      <c r="B93" s="7"/>
      <c r="C93" s="2285" t="s">
        <v>862</v>
      </c>
      <c r="D93" s="2281" t="s">
        <v>712</v>
      </c>
      <c r="E93" s="1921"/>
      <c r="F93" s="1922"/>
      <c r="G93" s="1922"/>
      <c r="H93" s="1870">
        <f t="shared" si="75"/>
        <v>0</v>
      </c>
      <c r="I93" s="1918"/>
      <c r="J93" s="1851"/>
      <c r="K93" s="1850">
        <v>0</v>
      </c>
      <c r="L93" s="1851">
        <f t="shared" si="87"/>
        <v>0</v>
      </c>
      <c r="M93" s="1851">
        <f t="shared" si="76"/>
        <v>0</v>
      </c>
      <c r="N93" s="1851">
        <f t="shared" si="77"/>
        <v>0</v>
      </c>
      <c r="O93" s="1882">
        <f t="shared" si="78"/>
        <v>0</v>
      </c>
      <c r="P93" s="1919"/>
      <c r="Q93" s="1920"/>
      <c r="R93" s="1920">
        <f>5400</f>
        <v>5400</v>
      </c>
      <c r="S93" s="1920"/>
      <c r="T93" s="1845">
        <f t="shared" si="79"/>
        <v>5400</v>
      </c>
      <c r="U93" s="1846" t="s">
        <v>713</v>
      </c>
      <c r="V93" s="1847">
        <f t="shared" si="80"/>
        <v>5400</v>
      </c>
      <c r="W93" s="1848">
        <f t="shared" si="81"/>
        <v>4864.8648648648641</v>
      </c>
      <c r="X93" s="1847">
        <f t="shared" si="82"/>
        <v>5400</v>
      </c>
      <c r="Y93" s="1848">
        <f t="shared" si="83"/>
        <v>4864.8648648648641</v>
      </c>
      <c r="Z93" s="1849" t="s">
        <v>1100</v>
      </c>
      <c r="AA93" s="1850">
        <v>30</v>
      </c>
      <c r="AB93" s="1851">
        <f>V93/30</f>
        <v>180</v>
      </c>
      <c r="AC93" s="1851">
        <f t="shared" si="84"/>
        <v>159.05275249624461</v>
      </c>
      <c r="AD93" s="1851">
        <f t="shared" si="85"/>
        <v>5400</v>
      </c>
      <c r="AE93" s="1851">
        <f t="shared" si="86"/>
        <v>4771.5825748873376</v>
      </c>
    </row>
    <row r="94" spans="1:31" ht="54" customHeight="1" x14ac:dyDescent="0.3">
      <c r="A94" s="224"/>
      <c r="B94" s="7"/>
      <c r="C94" s="2286" t="s">
        <v>121</v>
      </c>
      <c r="D94" s="2291" t="s">
        <v>979</v>
      </c>
      <c r="E94" s="1879">
        <f>20000</f>
        <v>20000</v>
      </c>
      <c r="F94" s="1880">
        <v>30000</v>
      </c>
      <c r="G94" s="1880"/>
      <c r="H94" s="1870">
        <f t="shared" si="75"/>
        <v>50000</v>
      </c>
      <c r="I94" s="1918" t="s">
        <v>122</v>
      </c>
      <c r="J94" s="1851" t="s">
        <v>1002</v>
      </c>
      <c r="K94" s="1850">
        <v>50</v>
      </c>
      <c r="L94" s="1851">
        <f>H94/50</f>
        <v>1000</v>
      </c>
      <c r="M94" s="1851">
        <f t="shared" si="76"/>
        <v>883.62640275691444</v>
      </c>
      <c r="N94" s="1851">
        <f t="shared" si="77"/>
        <v>50000</v>
      </c>
      <c r="O94" s="1882">
        <f t="shared" si="78"/>
        <v>44181.320137845723</v>
      </c>
      <c r="P94" s="1885"/>
      <c r="Q94" s="1844">
        <f>858.7*20</f>
        <v>17174</v>
      </c>
      <c r="R94" s="1844"/>
      <c r="S94" s="1844"/>
      <c r="T94" s="1845">
        <f t="shared" si="79"/>
        <v>17174</v>
      </c>
      <c r="U94" s="1846" t="s">
        <v>1083</v>
      </c>
      <c r="V94" s="1847">
        <f t="shared" si="80"/>
        <v>17174</v>
      </c>
      <c r="W94" s="1848">
        <f t="shared" si="81"/>
        <v>15472.072072072071</v>
      </c>
      <c r="X94" s="1847">
        <f t="shared" si="82"/>
        <v>-32826</v>
      </c>
      <c r="Y94" s="1848">
        <f t="shared" si="83"/>
        <v>-28709.248065773652</v>
      </c>
      <c r="Z94" s="1849" t="s">
        <v>1073</v>
      </c>
      <c r="AA94" s="1850">
        <v>20</v>
      </c>
      <c r="AB94" s="1851">
        <f>V94/20</f>
        <v>858.7</v>
      </c>
      <c r="AC94" s="1851">
        <f t="shared" si="84"/>
        <v>758.76999204736251</v>
      </c>
      <c r="AD94" s="1851">
        <f t="shared" si="85"/>
        <v>17174</v>
      </c>
      <c r="AE94" s="1851">
        <f t="shared" si="86"/>
        <v>15175.399840947248</v>
      </c>
    </row>
    <row r="95" spans="1:31" ht="57.75" customHeight="1" x14ac:dyDescent="0.3">
      <c r="A95" s="224"/>
      <c r="B95" s="1092"/>
      <c r="C95" s="2285" t="s">
        <v>980</v>
      </c>
      <c r="D95" s="2247" t="s">
        <v>484</v>
      </c>
      <c r="E95" s="1868"/>
      <c r="F95" s="1869"/>
      <c r="G95" s="1869"/>
      <c r="H95" s="1870">
        <f t="shared" si="75"/>
        <v>0</v>
      </c>
      <c r="I95" s="1918"/>
      <c r="J95" s="1851"/>
      <c r="K95" s="1850">
        <v>0</v>
      </c>
      <c r="L95" s="1851">
        <f t="shared" si="87"/>
        <v>0</v>
      </c>
      <c r="M95" s="1851">
        <f t="shared" si="76"/>
        <v>0</v>
      </c>
      <c r="N95" s="1851">
        <f t="shared" si="77"/>
        <v>0</v>
      </c>
      <c r="O95" s="1882">
        <f t="shared" si="78"/>
        <v>0</v>
      </c>
      <c r="P95" s="1885">
        <v>0</v>
      </c>
      <c r="Q95" s="1844">
        <v>840</v>
      </c>
      <c r="R95" s="1844"/>
      <c r="S95" s="1844"/>
      <c r="T95" s="1845">
        <f t="shared" si="79"/>
        <v>840</v>
      </c>
      <c r="U95" s="1846" t="s">
        <v>485</v>
      </c>
      <c r="V95" s="1847">
        <f t="shared" si="80"/>
        <v>840</v>
      </c>
      <c r="W95" s="1848">
        <f t="shared" si="81"/>
        <v>756.75675675675666</v>
      </c>
      <c r="X95" s="1847">
        <f t="shared" si="82"/>
        <v>840</v>
      </c>
      <c r="Y95" s="1848">
        <f t="shared" si="83"/>
        <v>756.75675675675666</v>
      </c>
      <c r="Z95" s="1849" t="s">
        <v>1101</v>
      </c>
      <c r="AA95" s="1850">
        <v>4</v>
      </c>
      <c r="AB95" s="1851">
        <f>V95/4</f>
        <v>210</v>
      </c>
      <c r="AC95" s="1851">
        <f t="shared" si="84"/>
        <v>185.56154457895204</v>
      </c>
      <c r="AD95" s="1851">
        <f t="shared" si="85"/>
        <v>840</v>
      </c>
      <c r="AE95" s="1851">
        <f t="shared" si="86"/>
        <v>742.24617831580815</v>
      </c>
    </row>
    <row r="96" spans="1:31" ht="48" customHeight="1" x14ac:dyDescent="0.3">
      <c r="A96" s="224"/>
      <c r="B96" s="1092"/>
      <c r="C96" s="2285" t="s">
        <v>123</v>
      </c>
      <c r="D96" s="2247" t="s">
        <v>548</v>
      </c>
      <c r="E96" s="1923">
        <f>80000</f>
        <v>80000</v>
      </c>
      <c r="F96" s="1924">
        <f>10000</f>
        <v>10000</v>
      </c>
      <c r="G96" s="1869"/>
      <c r="H96" s="1870">
        <f t="shared" si="75"/>
        <v>90000</v>
      </c>
      <c r="I96" s="1918" t="s">
        <v>124</v>
      </c>
      <c r="J96" s="1851" t="s">
        <v>1003</v>
      </c>
      <c r="K96" s="1850">
        <v>2</v>
      </c>
      <c r="L96" s="1851">
        <f>H96/2</f>
        <v>45000</v>
      </c>
      <c r="M96" s="1851">
        <f t="shared" si="76"/>
        <v>39763.188124061147</v>
      </c>
      <c r="N96" s="1851">
        <f t="shared" si="77"/>
        <v>90000</v>
      </c>
      <c r="O96" s="1882">
        <f t="shared" si="78"/>
        <v>79526.376248122295</v>
      </c>
      <c r="P96" s="1885"/>
      <c r="Q96" s="1844">
        <f>43793.33</f>
        <v>43793.33</v>
      </c>
      <c r="R96" s="1844"/>
      <c r="S96" s="1844"/>
      <c r="T96" s="1845">
        <f t="shared" si="79"/>
        <v>43793.33</v>
      </c>
      <c r="U96" s="1846" t="s">
        <v>1077</v>
      </c>
      <c r="V96" s="1847">
        <f t="shared" si="80"/>
        <v>43793.33</v>
      </c>
      <c r="W96" s="1848">
        <f t="shared" si="81"/>
        <v>39453.450450450451</v>
      </c>
      <c r="X96" s="1847">
        <f t="shared" si="82"/>
        <v>-46206.67</v>
      </c>
      <c r="Y96" s="1848">
        <f t="shared" si="83"/>
        <v>-40072.925797671844</v>
      </c>
      <c r="Z96" s="1849" t="s">
        <v>1078</v>
      </c>
      <c r="AA96" s="1850">
        <v>2</v>
      </c>
      <c r="AB96" s="1851">
        <f>V96/2</f>
        <v>21896.665000000001</v>
      </c>
      <c r="AC96" s="1851">
        <f t="shared" si="84"/>
        <v>19348.471326323233</v>
      </c>
      <c r="AD96" s="1851">
        <f t="shared" si="85"/>
        <v>43793.33</v>
      </c>
      <c r="AE96" s="1851">
        <f t="shared" si="86"/>
        <v>38696.942652646467</v>
      </c>
    </row>
    <row r="97" spans="1:31" ht="49.5" customHeight="1" x14ac:dyDescent="0.3">
      <c r="A97" s="224"/>
      <c r="B97" s="1092"/>
      <c r="C97" s="2285" t="s">
        <v>125</v>
      </c>
      <c r="D97" s="2247" t="s">
        <v>126</v>
      </c>
      <c r="E97" s="1879"/>
      <c r="F97" s="1880">
        <v>10000</v>
      </c>
      <c r="G97" s="1869"/>
      <c r="H97" s="1870">
        <f t="shared" si="75"/>
        <v>10000</v>
      </c>
      <c r="I97" s="1918" t="s">
        <v>127</v>
      </c>
      <c r="J97" s="1851" t="s">
        <v>1004</v>
      </c>
      <c r="K97" s="1850">
        <v>1</v>
      </c>
      <c r="L97" s="1851">
        <f>H97</f>
        <v>10000</v>
      </c>
      <c r="M97" s="1851">
        <f t="shared" si="76"/>
        <v>8836.2640275691447</v>
      </c>
      <c r="N97" s="1851">
        <f t="shared" si="77"/>
        <v>10000</v>
      </c>
      <c r="O97" s="1882">
        <f t="shared" si="78"/>
        <v>8836.2640275691447</v>
      </c>
      <c r="P97" s="1885"/>
      <c r="Q97" s="1844"/>
      <c r="R97" s="1844"/>
      <c r="S97" s="1844"/>
      <c r="T97" s="1845">
        <f t="shared" si="79"/>
        <v>0</v>
      </c>
      <c r="U97" s="1846"/>
      <c r="V97" s="1847"/>
      <c r="W97" s="1848"/>
      <c r="X97" s="1847">
        <f t="shared" si="82"/>
        <v>-10000</v>
      </c>
      <c r="Y97" s="1848">
        <f t="shared" si="83"/>
        <v>-8836.2640275691447</v>
      </c>
      <c r="Z97" s="1849" t="s">
        <v>1004</v>
      </c>
      <c r="AA97" s="1850"/>
      <c r="AB97" s="1851"/>
      <c r="AC97" s="1851"/>
      <c r="AD97" s="1851"/>
      <c r="AE97" s="1851">
        <f t="shared" si="86"/>
        <v>0</v>
      </c>
    </row>
    <row r="98" spans="1:31" ht="129" customHeight="1" x14ac:dyDescent="0.3">
      <c r="A98" s="224"/>
      <c r="B98" s="1092"/>
      <c r="C98" s="2285" t="s">
        <v>128</v>
      </c>
      <c r="D98" s="2247" t="s">
        <v>129</v>
      </c>
      <c r="E98" s="1879"/>
      <c r="F98" s="1880">
        <f>50000</f>
        <v>50000</v>
      </c>
      <c r="G98" s="1869"/>
      <c r="H98" s="1870">
        <f t="shared" si="75"/>
        <v>50000</v>
      </c>
      <c r="I98" s="1918" t="s">
        <v>130</v>
      </c>
      <c r="J98" s="1851" t="s">
        <v>1004</v>
      </c>
      <c r="K98" s="1850">
        <v>1</v>
      </c>
      <c r="L98" s="1851">
        <f>H98</f>
        <v>50000</v>
      </c>
      <c r="M98" s="1851">
        <f t="shared" si="76"/>
        <v>44181.320137845723</v>
      </c>
      <c r="N98" s="1851">
        <f t="shared" si="77"/>
        <v>50000</v>
      </c>
      <c r="O98" s="1882">
        <f t="shared" si="78"/>
        <v>44181.320137845723</v>
      </c>
      <c r="P98" s="1885"/>
      <c r="Q98" s="1844"/>
      <c r="R98" s="1844"/>
      <c r="S98" s="1844"/>
      <c r="T98" s="1845">
        <f t="shared" si="79"/>
        <v>0</v>
      </c>
      <c r="U98" s="1846"/>
      <c r="V98" s="1847"/>
      <c r="W98" s="1848"/>
      <c r="X98" s="1847">
        <f t="shared" si="82"/>
        <v>-50000</v>
      </c>
      <c r="Y98" s="1848">
        <f t="shared" si="83"/>
        <v>-44181.320137845723</v>
      </c>
      <c r="Z98" s="1849" t="s">
        <v>1004</v>
      </c>
      <c r="AA98" s="1850"/>
      <c r="AB98" s="1851"/>
      <c r="AC98" s="1851"/>
      <c r="AD98" s="1851"/>
      <c r="AE98" s="1851">
        <f t="shared" si="86"/>
        <v>0</v>
      </c>
    </row>
    <row r="99" spans="1:31" ht="48.75" customHeight="1" x14ac:dyDescent="0.3">
      <c r="A99" s="224"/>
      <c r="B99" s="1092"/>
      <c r="C99" s="2285" t="s">
        <v>131</v>
      </c>
      <c r="D99" s="2247" t="s">
        <v>599</v>
      </c>
      <c r="E99" s="1868">
        <f>9675</f>
        <v>9675</v>
      </c>
      <c r="F99" s="1869">
        <f>5405</f>
        <v>5405</v>
      </c>
      <c r="G99" s="1869"/>
      <c r="H99" s="1870">
        <f t="shared" si="75"/>
        <v>15080</v>
      </c>
      <c r="I99" s="1918" t="s">
        <v>1005</v>
      </c>
      <c r="J99" s="1851" t="s">
        <v>993</v>
      </c>
      <c r="K99" s="1850">
        <v>260</v>
      </c>
      <c r="L99" s="1851">
        <f>H99/260</f>
        <v>58</v>
      </c>
      <c r="M99" s="1851">
        <f t="shared" si="76"/>
        <v>51.25033135990104</v>
      </c>
      <c r="N99" s="1851">
        <f t="shared" si="77"/>
        <v>15080</v>
      </c>
      <c r="O99" s="1882">
        <f t="shared" si="78"/>
        <v>13325.08615357427</v>
      </c>
      <c r="P99" s="1885">
        <f>29500</f>
        <v>29500</v>
      </c>
      <c r="Q99" s="1844">
        <f>44720+28550</f>
        <v>73270</v>
      </c>
      <c r="R99" s="1844"/>
      <c r="S99" s="1844"/>
      <c r="T99" s="1845">
        <f t="shared" si="79"/>
        <v>102770</v>
      </c>
      <c r="U99" s="1846" t="s">
        <v>768</v>
      </c>
      <c r="V99" s="1847">
        <f>P99+Q99+R99+S99</f>
        <v>102770</v>
      </c>
      <c r="W99" s="1848">
        <f t="shared" si="81"/>
        <v>92585.585585585577</v>
      </c>
      <c r="X99" s="1847">
        <f t="shared" si="82"/>
        <v>87690</v>
      </c>
      <c r="Y99" s="1848">
        <f t="shared" si="83"/>
        <v>79260.499432011304</v>
      </c>
      <c r="Z99" s="1849" t="s">
        <v>993</v>
      </c>
      <c r="AA99" s="1850">
        <v>520</v>
      </c>
      <c r="AB99" s="1851">
        <f>V99/520</f>
        <v>197.63461538461539</v>
      </c>
      <c r="AC99" s="1851">
        <f t="shared" si="84"/>
        <v>174.63516425255403</v>
      </c>
      <c r="AD99" s="1851">
        <f t="shared" ref="AD99" si="89">AA99*AB99</f>
        <v>102770</v>
      </c>
      <c r="AE99" s="1851">
        <f t="shared" si="86"/>
        <v>90810.285411328092</v>
      </c>
    </row>
    <row r="100" spans="1:31" ht="87" customHeight="1" x14ac:dyDescent="0.3">
      <c r="A100" s="1925"/>
      <c r="B100" s="1092"/>
      <c r="C100" s="2285" t="s">
        <v>132</v>
      </c>
      <c r="D100" s="2247" t="s">
        <v>133</v>
      </c>
      <c r="E100" s="1868">
        <f>9450</f>
        <v>9450</v>
      </c>
      <c r="F100" s="1869">
        <f>5550</f>
        <v>5550</v>
      </c>
      <c r="G100" s="1869"/>
      <c r="H100" s="1870">
        <f t="shared" si="75"/>
        <v>15000</v>
      </c>
      <c r="I100" s="1881" t="s">
        <v>134</v>
      </c>
      <c r="J100" s="1851" t="s">
        <v>993</v>
      </c>
      <c r="K100" s="1850">
        <v>15</v>
      </c>
      <c r="L100" s="1851">
        <f>H100/15</f>
        <v>1000</v>
      </c>
      <c r="M100" s="1851">
        <f t="shared" si="76"/>
        <v>883.62640275691444</v>
      </c>
      <c r="N100" s="1851">
        <f t="shared" si="77"/>
        <v>15000</v>
      </c>
      <c r="O100" s="1882">
        <f t="shared" si="78"/>
        <v>13254.396041353717</v>
      </c>
      <c r="P100" s="1885"/>
      <c r="Q100" s="1844">
        <f>1803</f>
        <v>1803</v>
      </c>
      <c r="R100" s="1844">
        <v>3840</v>
      </c>
      <c r="S100" s="1844"/>
      <c r="T100" s="1845">
        <f t="shared" si="79"/>
        <v>5643</v>
      </c>
      <c r="U100" s="1846" t="s">
        <v>600</v>
      </c>
      <c r="V100" s="1847">
        <f>P100+Q100+R100+S100</f>
        <v>5643</v>
      </c>
      <c r="W100" s="1848">
        <f t="shared" si="81"/>
        <v>5083.7837837837833</v>
      </c>
      <c r="X100" s="1847">
        <f t="shared" si="82"/>
        <v>-9357</v>
      </c>
      <c r="Y100" s="1848">
        <f t="shared" si="83"/>
        <v>-8170.6122575699337</v>
      </c>
      <c r="Z100" s="1849" t="s">
        <v>993</v>
      </c>
      <c r="AA100" s="1850">
        <v>520</v>
      </c>
      <c r="AB100" s="1851">
        <f>V100/520</f>
        <v>10.851923076923077</v>
      </c>
      <c r="AC100" s="1851">
        <f t="shared" si="84"/>
        <v>9.5890457514562843</v>
      </c>
      <c r="AD100" s="1851">
        <f t="shared" si="85"/>
        <v>5643</v>
      </c>
      <c r="AE100" s="1851">
        <f t="shared" si="86"/>
        <v>4986.303790757268</v>
      </c>
    </row>
    <row r="101" spans="1:31" ht="87.75" customHeight="1" x14ac:dyDescent="0.3">
      <c r="A101" s="1926"/>
      <c r="B101" s="1092"/>
      <c r="C101" s="2285" t="s">
        <v>1029</v>
      </c>
      <c r="D101" s="2247" t="s">
        <v>136</v>
      </c>
      <c r="E101" s="1868">
        <f>10000</f>
        <v>10000</v>
      </c>
      <c r="F101" s="1869">
        <f>10000</f>
        <v>10000</v>
      </c>
      <c r="G101" s="1869"/>
      <c r="H101" s="1870">
        <f t="shared" si="75"/>
        <v>20000</v>
      </c>
      <c r="I101" s="1881" t="s">
        <v>137</v>
      </c>
      <c r="J101" s="1851" t="s">
        <v>993</v>
      </c>
      <c r="K101" s="1850">
        <v>10</v>
      </c>
      <c r="L101" s="1851">
        <f>H101/10</f>
        <v>2000</v>
      </c>
      <c r="M101" s="1851">
        <f t="shared" si="76"/>
        <v>1767.2528055138289</v>
      </c>
      <c r="N101" s="1851">
        <f t="shared" si="77"/>
        <v>20000</v>
      </c>
      <c r="O101" s="1882">
        <f t="shared" si="78"/>
        <v>17672.528055138289</v>
      </c>
      <c r="P101" s="1885"/>
      <c r="Q101" s="1844">
        <v>24710</v>
      </c>
      <c r="R101" s="1844"/>
      <c r="S101" s="1844"/>
      <c r="T101" s="1845">
        <f t="shared" si="79"/>
        <v>24710</v>
      </c>
      <c r="U101" s="1846" t="s">
        <v>769</v>
      </c>
      <c r="V101" s="1847">
        <f>P101+Q101+R101+S101</f>
        <v>24710</v>
      </c>
      <c r="W101" s="1848">
        <f t="shared" si="81"/>
        <v>22261.261261261261</v>
      </c>
      <c r="X101" s="1847">
        <f t="shared" si="82"/>
        <v>4710</v>
      </c>
      <c r="Y101" s="1848">
        <f t="shared" si="83"/>
        <v>4588.7332061229718</v>
      </c>
      <c r="Z101" s="1849" t="s">
        <v>993</v>
      </c>
      <c r="AA101" s="1850">
        <v>15</v>
      </c>
      <c r="AB101" s="1851">
        <f>V101/15</f>
        <v>1647.3333333333333</v>
      </c>
      <c r="AC101" s="1851">
        <f t="shared" si="84"/>
        <v>1455.6272274748903</v>
      </c>
      <c r="AD101" s="1851">
        <f t="shared" si="85"/>
        <v>24710</v>
      </c>
      <c r="AE101" s="1851">
        <f t="shared" si="86"/>
        <v>21834.408412123357</v>
      </c>
    </row>
    <row r="102" spans="1:31" ht="56.25" customHeight="1" x14ac:dyDescent="0.3">
      <c r="A102" s="224"/>
      <c r="B102" s="1092"/>
      <c r="C102" s="2283" t="s">
        <v>672</v>
      </c>
      <c r="D102" s="2280" t="s">
        <v>802</v>
      </c>
      <c r="E102" s="1868"/>
      <c r="F102" s="1869"/>
      <c r="G102" s="1869"/>
      <c r="H102" s="1870">
        <f t="shared" si="75"/>
        <v>0</v>
      </c>
      <c r="I102" s="1881"/>
      <c r="J102" s="1851"/>
      <c r="K102" s="1850">
        <v>0</v>
      </c>
      <c r="L102" s="1851">
        <f t="shared" si="87"/>
        <v>0</v>
      </c>
      <c r="M102" s="1851">
        <f t="shared" si="76"/>
        <v>0</v>
      </c>
      <c r="N102" s="1851">
        <f t="shared" si="77"/>
        <v>0</v>
      </c>
      <c r="O102" s="1882">
        <f t="shared" si="78"/>
        <v>0</v>
      </c>
      <c r="P102" s="1919"/>
      <c r="Q102" s="1920"/>
      <c r="R102" s="1920"/>
      <c r="S102" s="1844">
        <f>10025+9800</f>
        <v>19825</v>
      </c>
      <c r="T102" s="1845">
        <f t="shared" si="79"/>
        <v>19825</v>
      </c>
      <c r="U102" s="1846" t="s">
        <v>891</v>
      </c>
      <c r="V102" s="1847">
        <f>P102+Q102+R102+S102</f>
        <v>19825</v>
      </c>
      <c r="W102" s="1848">
        <f t="shared" si="81"/>
        <v>17860.360360360359</v>
      </c>
      <c r="X102" s="1847">
        <f t="shared" si="82"/>
        <v>19825</v>
      </c>
      <c r="Y102" s="1848">
        <f t="shared" si="83"/>
        <v>17860.360360360359</v>
      </c>
      <c r="Z102" s="1849" t="s">
        <v>993</v>
      </c>
      <c r="AA102" s="1850">
        <v>30</v>
      </c>
      <c r="AB102" s="1851">
        <f>V102/30</f>
        <v>660.83333333333337</v>
      </c>
      <c r="AC102" s="1851">
        <f t="shared" si="84"/>
        <v>583.92978115519429</v>
      </c>
      <c r="AD102" s="1851">
        <f t="shared" si="85"/>
        <v>19825</v>
      </c>
      <c r="AE102" s="1851">
        <f t="shared" si="86"/>
        <v>17517.893434655827</v>
      </c>
    </row>
    <row r="103" spans="1:31" ht="69.75" customHeight="1" x14ac:dyDescent="0.3">
      <c r="A103" s="224"/>
      <c r="B103" s="1092"/>
      <c r="C103" s="2283" t="s">
        <v>759</v>
      </c>
      <c r="D103" s="2280" t="s">
        <v>673</v>
      </c>
      <c r="E103" s="1868"/>
      <c r="F103" s="1869"/>
      <c r="G103" s="1869"/>
      <c r="H103" s="1870">
        <f t="shared" si="75"/>
        <v>0</v>
      </c>
      <c r="I103" s="1881"/>
      <c r="J103" s="1851"/>
      <c r="K103" s="1850">
        <v>0</v>
      </c>
      <c r="L103" s="1851">
        <f t="shared" si="87"/>
        <v>0</v>
      </c>
      <c r="M103" s="1851">
        <f t="shared" si="76"/>
        <v>0</v>
      </c>
      <c r="N103" s="1851">
        <f t="shared" si="77"/>
        <v>0</v>
      </c>
      <c r="O103" s="1882">
        <f t="shared" si="78"/>
        <v>0</v>
      </c>
      <c r="P103" s="1919"/>
      <c r="Q103" s="1920"/>
      <c r="R103" s="1920">
        <v>4000</v>
      </c>
      <c r="S103" s="1920">
        <v>5000</v>
      </c>
      <c r="T103" s="1845">
        <f t="shared" si="79"/>
        <v>9000</v>
      </c>
      <c r="U103" s="1846" t="s">
        <v>803</v>
      </c>
      <c r="V103" s="1847">
        <f>P103+Q103+R103+S103</f>
        <v>9000</v>
      </c>
      <c r="W103" s="1848">
        <f t="shared" si="81"/>
        <v>8108.1081081081074</v>
      </c>
      <c r="X103" s="1847">
        <f t="shared" si="82"/>
        <v>9000</v>
      </c>
      <c r="Y103" s="1848">
        <f t="shared" si="83"/>
        <v>8108.1081081081074</v>
      </c>
      <c r="Z103" s="1849" t="s">
        <v>1002</v>
      </c>
      <c r="AA103" s="1850">
        <v>2</v>
      </c>
      <c r="AB103" s="1851">
        <f>V103/2</f>
        <v>4500</v>
      </c>
      <c r="AC103" s="1851">
        <f t="shared" si="84"/>
        <v>3976.3188124061148</v>
      </c>
      <c r="AD103" s="1851">
        <f t="shared" si="85"/>
        <v>9000</v>
      </c>
      <c r="AE103" s="1851">
        <f t="shared" si="86"/>
        <v>7952.6376248122297</v>
      </c>
    </row>
    <row r="104" spans="1:31" ht="87.75" customHeight="1" x14ac:dyDescent="0.3">
      <c r="A104" s="224"/>
      <c r="B104" s="1092"/>
      <c r="C104" s="2287" t="s">
        <v>138</v>
      </c>
      <c r="D104" s="2292" t="s">
        <v>139</v>
      </c>
      <c r="E104" s="1886"/>
      <c r="F104" s="1887">
        <v>10000</v>
      </c>
      <c r="G104" s="1887"/>
      <c r="H104" s="1870">
        <f t="shared" si="75"/>
        <v>10000</v>
      </c>
      <c r="I104" s="1881" t="s">
        <v>140</v>
      </c>
      <c r="J104" s="1851" t="s">
        <v>993</v>
      </c>
      <c r="K104" s="1850">
        <v>40</v>
      </c>
      <c r="L104" s="1851">
        <f>H104/40</f>
        <v>250</v>
      </c>
      <c r="M104" s="1851">
        <f t="shared" si="76"/>
        <v>220.90660068922861</v>
      </c>
      <c r="N104" s="1851">
        <f t="shared" si="77"/>
        <v>10000</v>
      </c>
      <c r="O104" s="1882">
        <f t="shared" si="78"/>
        <v>8836.2640275691447</v>
      </c>
      <c r="P104" s="1919"/>
      <c r="Q104" s="1920"/>
      <c r="R104" s="1920"/>
      <c r="S104" s="1920"/>
      <c r="T104" s="1845">
        <f t="shared" si="79"/>
        <v>0</v>
      </c>
      <c r="U104" s="1846"/>
      <c r="V104" s="1847"/>
      <c r="W104" s="1848"/>
      <c r="X104" s="1847">
        <f t="shared" si="82"/>
        <v>-10000</v>
      </c>
      <c r="Y104" s="1848">
        <f t="shared" si="83"/>
        <v>-8836.2640275691447</v>
      </c>
      <c r="Z104" s="1849" t="s">
        <v>993</v>
      </c>
      <c r="AA104" s="1850"/>
      <c r="AB104" s="1851"/>
      <c r="AC104" s="1851"/>
      <c r="AD104" s="1851"/>
      <c r="AE104" s="1851">
        <f t="shared" si="86"/>
        <v>0</v>
      </c>
    </row>
    <row r="105" spans="1:31" ht="78" customHeight="1" x14ac:dyDescent="0.3">
      <c r="A105" s="224"/>
      <c r="B105" s="1092"/>
      <c r="C105" s="2283" t="s">
        <v>141</v>
      </c>
      <c r="D105" s="2280" t="s">
        <v>601</v>
      </c>
      <c r="E105" s="1868">
        <f>13000</f>
        <v>13000</v>
      </c>
      <c r="F105" s="1869"/>
      <c r="G105" s="1869"/>
      <c r="H105" s="1870">
        <f t="shared" si="75"/>
        <v>13000</v>
      </c>
      <c r="I105" s="1881" t="s">
        <v>142</v>
      </c>
      <c r="J105" s="1851" t="s">
        <v>1001</v>
      </c>
      <c r="K105" s="1850">
        <v>32</v>
      </c>
      <c r="L105" s="1851">
        <f>H105/32</f>
        <v>406.25</v>
      </c>
      <c r="M105" s="1851">
        <f t="shared" si="76"/>
        <v>358.97322611999647</v>
      </c>
      <c r="N105" s="1851">
        <f t="shared" si="77"/>
        <v>13000</v>
      </c>
      <c r="O105" s="1882">
        <f t="shared" si="78"/>
        <v>11487.143235839887</v>
      </c>
      <c r="P105" s="1885"/>
      <c r="Q105" s="1844">
        <v>6500</v>
      </c>
      <c r="R105" s="1844">
        <v>4523</v>
      </c>
      <c r="S105" s="1844"/>
      <c r="T105" s="1845">
        <f t="shared" si="79"/>
        <v>11023</v>
      </c>
      <c r="U105" s="1846" t="s">
        <v>602</v>
      </c>
      <c r="V105" s="1847">
        <f>P105+Q105+R105+S105</f>
        <v>11023</v>
      </c>
      <c r="W105" s="1848">
        <f t="shared" si="81"/>
        <v>9930.6306306306305</v>
      </c>
      <c r="X105" s="1847">
        <f t="shared" si="82"/>
        <v>-1977</v>
      </c>
      <c r="Y105" s="1848">
        <f t="shared" si="83"/>
        <v>-1556.5126052092564</v>
      </c>
      <c r="Z105" s="1849" t="s">
        <v>1001</v>
      </c>
      <c r="AA105" s="1850">
        <v>2</v>
      </c>
      <c r="AB105" s="1851">
        <f>V105/2</f>
        <v>5511.5</v>
      </c>
      <c r="AC105" s="1851">
        <f t="shared" si="84"/>
        <v>4870.1069187947342</v>
      </c>
      <c r="AD105" s="1851">
        <f t="shared" si="85"/>
        <v>11023</v>
      </c>
      <c r="AE105" s="1851">
        <f t="shared" si="86"/>
        <v>9740.2138375894683</v>
      </c>
    </row>
    <row r="106" spans="1:31" ht="90.75" customHeight="1" x14ac:dyDescent="0.3">
      <c r="A106" s="224"/>
      <c r="B106" s="1303"/>
      <c r="C106" s="2283" t="s">
        <v>143</v>
      </c>
      <c r="D106" s="2280" t="s">
        <v>144</v>
      </c>
      <c r="E106" s="1868"/>
      <c r="F106" s="1869">
        <f>10000</f>
        <v>10000</v>
      </c>
      <c r="G106" s="1869"/>
      <c r="H106" s="1870">
        <f t="shared" si="75"/>
        <v>10000</v>
      </c>
      <c r="I106" s="1918" t="s">
        <v>145</v>
      </c>
      <c r="J106" s="1851" t="s">
        <v>993</v>
      </c>
      <c r="K106" s="1850">
        <v>26</v>
      </c>
      <c r="L106" s="1851">
        <f>H106/26</f>
        <v>384.61538461538464</v>
      </c>
      <c r="M106" s="1851">
        <f t="shared" si="76"/>
        <v>339.8563087526594</v>
      </c>
      <c r="N106" s="1851">
        <f t="shared" si="77"/>
        <v>10000</v>
      </c>
      <c r="O106" s="1882">
        <f t="shared" si="78"/>
        <v>8836.2640275691447</v>
      </c>
      <c r="P106" s="1885"/>
      <c r="Q106" s="1844">
        <v>0</v>
      </c>
      <c r="R106" s="1844">
        <v>3120</v>
      </c>
      <c r="S106" s="1844"/>
      <c r="T106" s="1845">
        <f t="shared" si="79"/>
        <v>3120</v>
      </c>
      <c r="U106" s="1846" t="s">
        <v>603</v>
      </c>
      <c r="V106" s="1847">
        <f>P106+Q106+R106+S106</f>
        <v>3120</v>
      </c>
      <c r="W106" s="1848">
        <f t="shared" si="81"/>
        <v>2810.8108108108104</v>
      </c>
      <c r="X106" s="1847">
        <f t="shared" si="82"/>
        <v>-6880</v>
      </c>
      <c r="Y106" s="1848">
        <f t="shared" si="83"/>
        <v>-6025.4532167583347</v>
      </c>
      <c r="Z106" s="1849" t="s">
        <v>993</v>
      </c>
      <c r="AA106" s="1850">
        <v>1</v>
      </c>
      <c r="AB106" s="1851">
        <f>V106/1</f>
        <v>3120</v>
      </c>
      <c r="AC106" s="1851">
        <f t="shared" si="84"/>
        <v>2756.9143766015732</v>
      </c>
      <c r="AD106" s="1851">
        <f t="shared" si="85"/>
        <v>3120</v>
      </c>
      <c r="AE106" s="1851">
        <f t="shared" si="86"/>
        <v>2756.9143766015732</v>
      </c>
    </row>
    <row r="107" spans="1:31" ht="133.5" customHeight="1" x14ac:dyDescent="0.3">
      <c r="A107" s="224"/>
      <c r="B107" s="1092"/>
      <c r="C107" s="2285" t="s">
        <v>146</v>
      </c>
      <c r="D107" s="2247" t="s">
        <v>604</v>
      </c>
      <c r="E107" s="1868">
        <f>10000</f>
        <v>10000</v>
      </c>
      <c r="F107" s="1869">
        <f>10000</f>
        <v>10000</v>
      </c>
      <c r="G107" s="1869"/>
      <c r="H107" s="1870">
        <f t="shared" si="75"/>
        <v>20000</v>
      </c>
      <c r="I107" s="1918" t="s">
        <v>1006</v>
      </c>
      <c r="J107" s="1851" t="s">
        <v>1007</v>
      </c>
      <c r="K107" s="1850">
        <v>6</v>
      </c>
      <c r="L107" s="1851">
        <f>H107/6</f>
        <v>3333.3333333333335</v>
      </c>
      <c r="M107" s="1851">
        <f t="shared" si="76"/>
        <v>2945.4213425230482</v>
      </c>
      <c r="N107" s="1851">
        <f t="shared" si="77"/>
        <v>20000</v>
      </c>
      <c r="O107" s="1882">
        <f t="shared" si="78"/>
        <v>17672.528055138289</v>
      </c>
      <c r="P107" s="1885"/>
      <c r="Q107" s="1844">
        <f>24322</f>
        <v>24322</v>
      </c>
      <c r="R107" s="1844">
        <v>3203</v>
      </c>
      <c r="S107" s="1844"/>
      <c r="T107" s="1845">
        <f t="shared" si="79"/>
        <v>27525</v>
      </c>
      <c r="U107" s="1846" t="s">
        <v>1052</v>
      </c>
      <c r="V107" s="1847">
        <f>P107+Q107+R107+S107</f>
        <v>27525</v>
      </c>
      <c r="W107" s="1848">
        <f t="shared" si="81"/>
        <v>24797.297297297297</v>
      </c>
      <c r="X107" s="1847">
        <f t="shared" si="82"/>
        <v>7525</v>
      </c>
      <c r="Y107" s="1848">
        <f t="shared" si="83"/>
        <v>7124.7692421590073</v>
      </c>
      <c r="Z107" s="1849" t="s">
        <v>1007</v>
      </c>
      <c r="AA107" s="1850">
        <v>26</v>
      </c>
      <c r="AB107" s="1851">
        <f>V107/26</f>
        <v>1058.6538461538462</v>
      </c>
      <c r="AC107" s="1851">
        <f t="shared" si="84"/>
        <v>935.45448984169502</v>
      </c>
      <c r="AD107" s="1851">
        <f t="shared" si="85"/>
        <v>27525</v>
      </c>
      <c r="AE107" s="1851">
        <f t="shared" si="86"/>
        <v>24321.816735884069</v>
      </c>
    </row>
    <row r="108" spans="1:31" ht="76.5" customHeight="1" x14ac:dyDescent="0.3">
      <c r="A108" s="224"/>
      <c r="B108" s="1092"/>
      <c r="C108" s="2285" t="s">
        <v>147</v>
      </c>
      <c r="D108" s="2247" t="s">
        <v>148</v>
      </c>
      <c r="E108" s="1879"/>
      <c r="F108" s="1880">
        <f>10000</f>
        <v>10000</v>
      </c>
      <c r="G108" s="1880">
        <f>10000</f>
        <v>10000</v>
      </c>
      <c r="H108" s="1870">
        <f t="shared" si="75"/>
        <v>20000</v>
      </c>
      <c r="I108" s="1918" t="s">
        <v>149</v>
      </c>
      <c r="J108" s="1851" t="s">
        <v>1009</v>
      </c>
      <c r="K108" s="1850">
        <v>10</v>
      </c>
      <c r="L108" s="1851">
        <f>H108/10</f>
        <v>2000</v>
      </c>
      <c r="M108" s="1851">
        <f t="shared" si="76"/>
        <v>1767.2528055138289</v>
      </c>
      <c r="N108" s="1851">
        <f t="shared" si="77"/>
        <v>20000</v>
      </c>
      <c r="O108" s="1882">
        <f t="shared" si="78"/>
        <v>17672.528055138289</v>
      </c>
      <c r="P108" s="1885"/>
      <c r="Q108" s="1844"/>
      <c r="R108" s="1844"/>
      <c r="S108" s="1844"/>
      <c r="T108" s="1845">
        <f t="shared" si="79"/>
        <v>0</v>
      </c>
      <c r="U108" s="1846"/>
      <c r="V108" s="1847"/>
      <c r="W108" s="1848"/>
      <c r="X108" s="1847">
        <f t="shared" si="82"/>
        <v>-20000</v>
      </c>
      <c r="Y108" s="1848">
        <f t="shared" si="83"/>
        <v>-17672.528055138289</v>
      </c>
      <c r="Z108" s="1849" t="s">
        <v>1009</v>
      </c>
      <c r="AA108" s="1850"/>
      <c r="AB108" s="1851"/>
      <c r="AC108" s="1851"/>
      <c r="AD108" s="1851"/>
      <c r="AE108" s="1851">
        <f t="shared" si="86"/>
        <v>0</v>
      </c>
    </row>
    <row r="109" spans="1:31" ht="72.75" customHeight="1" x14ac:dyDescent="0.3">
      <c r="A109" s="224"/>
      <c r="B109" s="1092"/>
      <c r="C109" s="2288" t="s">
        <v>150</v>
      </c>
      <c r="D109" s="2263" t="s">
        <v>605</v>
      </c>
      <c r="E109" s="1868"/>
      <c r="F109" s="1869">
        <f>61395</f>
        <v>61395</v>
      </c>
      <c r="G109" s="1869"/>
      <c r="H109" s="1870">
        <f t="shared" si="75"/>
        <v>61395</v>
      </c>
      <c r="I109" s="1918" t="s">
        <v>151</v>
      </c>
      <c r="J109" s="1851" t="s">
        <v>1009</v>
      </c>
      <c r="K109" s="1850">
        <v>220</v>
      </c>
      <c r="L109" s="1851">
        <f>H109/220</f>
        <v>279.06818181818181</v>
      </c>
      <c r="M109" s="1851">
        <f t="shared" si="76"/>
        <v>246.59201362391255</v>
      </c>
      <c r="N109" s="1851">
        <f t="shared" si="77"/>
        <v>61395</v>
      </c>
      <c r="O109" s="1882">
        <f t="shared" si="78"/>
        <v>54250.242997260764</v>
      </c>
      <c r="P109" s="1885">
        <v>10290</v>
      </c>
      <c r="Q109" s="1844">
        <v>0</v>
      </c>
      <c r="R109" s="1844"/>
      <c r="S109" s="1844"/>
      <c r="T109" s="1845">
        <f t="shared" si="79"/>
        <v>10290</v>
      </c>
      <c r="U109" s="1846" t="s">
        <v>606</v>
      </c>
      <c r="V109" s="1847">
        <f>P109+Q109+R109+S109</f>
        <v>10290</v>
      </c>
      <c r="W109" s="1848">
        <f t="shared" si="81"/>
        <v>9270.27027027027</v>
      </c>
      <c r="X109" s="1847">
        <f t="shared" si="82"/>
        <v>-51105</v>
      </c>
      <c r="Y109" s="1848">
        <f t="shared" si="83"/>
        <v>-44979.972726990498</v>
      </c>
      <c r="Z109" s="1849" t="s">
        <v>1009</v>
      </c>
      <c r="AA109" s="1850">
        <v>12</v>
      </c>
      <c r="AB109" s="1851">
        <f>V109/12</f>
        <v>857.5</v>
      </c>
      <c r="AC109" s="1851">
        <f t="shared" si="84"/>
        <v>757.70964036405417</v>
      </c>
      <c r="AD109" s="1851">
        <f t="shared" si="85"/>
        <v>10290</v>
      </c>
      <c r="AE109" s="1851">
        <f t="shared" si="86"/>
        <v>9092.5156843686491</v>
      </c>
    </row>
    <row r="110" spans="1:31" ht="57.75" customHeight="1" x14ac:dyDescent="0.3">
      <c r="A110" s="224"/>
      <c r="B110" s="1092"/>
      <c r="C110" s="2289" t="s">
        <v>152</v>
      </c>
      <c r="D110" s="2281" t="s">
        <v>153</v>
      </c>
      <c r="E110" s="1886"/>
      <c r="F110" s="1887">
        <f>26400</f>
        <v>26400</v>
      </c>
      <c r="G110" s="1887"/>
      <c r="H110" s="1870">
        <f t="shared" si="75"/>
        <v>26400</v>
      </c>
      <c r="I110" s="1918" t="s">
        <v>154</v>
      </c>
      <c r="J110" s="1851" t="s">
        <v>1009</v>
      </c>
      <c r="K110" s="1850">
        <v>10</v>
      </c>
      <c r="L110" s="1851">
        <f>H110/10</f>
        <v>2640</v>
      </c>
      <c r="M110" s="1851">
        <f t="shared" si="76"/>
        <v>2332.7737032782543</v>
      </c>
      <c r="N110" s="1851">
        <f t="shared" si="77"/>
        <v>26400</v>
      </c>
      <c r="O110" s="1882">
        <f t="shared" si="78"/>
        <v>23327.737032782541</v>
      </c>
      <c r="P110" s="1885"/>
      <c r="Q110" s="1844"/>
      <c r="R110" s="1844"/>
      <c r="S110" s="1844"/>
      <c r="T110" s="1845">
        <f t="shared" si="79"/>
        <v>0</v>
      </c>
      <c r="U110" s="1846"/>
      <c r="V110" s="1847"/>
      <c r="W110" s="1848"/>
      <c r="X110" s="1847">
        <f t="shared" si="82"/>
        <v>-26400</v>
      </c>
      <c r="Y110" s="1848">
        <f t="shared" si="83"/>
        <v>-23327.737032782541</v>
      </c>
      <c r="Z110" s="1849" t="s">
        <v>1009</v>
      </c>
      <c r="AA110" s="1850"/>
      <c r="AB110" s="1851"/>
      <c r="AC110" s="1851"/>
      <c r="AD110" s="1851"/>
      <c r="AE110" s="1851">
        <f t="shared" si="86"/>
        <v>0</v>
      </c>
    </row>
    <row r="111" spans="1:31" ht="71.25" customHeight="1" x14ac:dyDescent="0.3">
      <c r="A111" s="224"/>
      <c r="B111" s="1092"/>
      <c r="C111" s="2283" t="s">
        <v>486</v>
      </c>
      <c r="D111" s="2280" t="s">
        <v>674</v>
      </c>
      <c r="E111" s="1868"/>
      <c r="F111" s="1869"/>
      <c r="G111" s="1869"/>
      <c r="H111" s="1870">
        <f t="shared" si="75"/>
        <v>0</v>
      </c>
      <c r="I111" s="1918"/>
      <c r="J111" s="1851"/>
      <c r="K111" s="1850">
        <v>0</v>
      </c>
      <c r="L111" s="1851">
        <f t="shared" si="87"/>
        <v>0</v>
      </c>
      <c r="M111" s="1851">
        <f t="shared" si="76"/>
        <v>0</v>
      </c>
      <c r="N111" s="1851">
        <f t="shared" si="77"/>
        <v>0</v>
      </c>
      <c r="O111" s="1882">
        <f t="shared" si="78"/>
        <v>0</v>
      </c>
      <c r="P111" s="1919"/>
      <c r="Q111" s="1920"/>
      <c r="R111" s="1920"/>
      <c r="S111" s="1920">
        <f>2500</f>
        <v>2500</v>
      </c>
      <c r="T111" s="1845">
        <f t="shared" si="79"/>
        <v>2500</v>
      </c>
      <c r="U111" s="1846" t="s">
        <v>675</v>
      </c>
      <c r="V111" s="1847">
        <f>P111+Q111+R111+S111</f>
        <v>2500</v>
      </c>
      <c r="W111" s="1848">
        <f t="shared" si="81"/>
        <v>2252.2522522522522</v>
      </c>
      <c r="X111" s="1847">
        <f t="shared" si="82"/>
        <v>2500</v>
      </c>
      <c r="Y111" s="1848">
        <f t="shared" si="83"/>
        <v>2252.2522522522522</v>
      </c>
      <c r="Z111" s="1849"/>
      <c r="AA111" s="1850">
        <v>35</v>
      </c>
      <c r="AB111" s="1851">
        <f>V111/35</f>
        <v>71.428571428571431</v>
      </c>
      <c r="AC111" s="1851">
        <f t="shared" si="84"/>
        <v>63.116171625493891</v>
      </c>
      <c r="AD111" s="1851">
        <f t="shared" si="85"/>
        <v>2500</v>
      </c>
      <c r="AE111" s="1851">
        <f t="shared" si="86"/>
        <v>2209.0660068922862</v>
      </c>
    </row>
    <row r="112" spans="1:31" ht="48" customHeight="1" x14ac:dyDescent="0.3">
      <c r="A112" s="224"/>
      <c r="B112" s="1092"/>
      <c r="C112" s="2283" t="s">
        <v>487</v>
      </c>
      <c r="D112" s="2280" t="s">
        <v>488</v>
      </c>
      <c r="E112" s="1868"/>
      <c r="F112" s="1869"/>
      <c r="G112" s="1869"/>
      <c r="H112" s="1870">
        <f t="shared" si="75"/>
        <v>0</v>
      </c>
      <c r="I112" s="1918"/>
      <c r="J112" s="1851"/>
      <c r="K112" s="1850">
        <v>0</v>
      </c>
      <c r="L112" s="1851">
        <f t="shared" si="87"/>
        <v>0</v>
      </c>
      <c r="M112" s="1851">
        <f t="shared" si="76"/>
        <v>0</v>
      </c>
      <c r="N112" s="1851">
        <f t="shared" si="77"/>
        <v>0</v>
      </c>
      <c r="O112" s="1882">
        <f t="shared" si="78"/>
        <v>0</v>
      </c>
      <c r="P112" s="1885"/>
      <c r="Q112" s="1844"/>
      <c r="R112" s="1920">
        <v>6455</v>
      </c>
      <c r="S112" s="1844"/>
      <c r="T112" s="1845">
        <f t="shared" si="79"/>
        <v>6455</v>
      </c>
      <c r="U112" s="1846" t="s">
        <v>1053</v>
      </c>
      <c r="V112" s="1847">
        <f>P112+Q112+R112+S112</f>
        <v>6455</v>
      </c>
      <c r="W112" s="1848">
        <f>V112/1.11</f>
        <v>5815.3153153153144</v>
      </c>
      <c r="X112" s="1847">
        <f t="shared" si="82"/>
        <v>6455</v>
      </c>
      <c r="Y112" s="1848">
        <f t="shared" si="83"/>
        <v>5815.3153153153144</v>
      </c>
      <c r="Z112" s="1849"/>
      <c r="AA112" s="1850">
        <v>5</v>
      </c>
      <c r="AB112" s="1851">
        <f>V112/5</f>
        <v>1291</v>
      </c>
      <c r="AC112" s="1851">
        <f t="shared" si="84"/>
        <v>1140.7616859591765</v>
      </c>
      <c r="AD112" s="1851">
        <f t="shared" si="85"/>
        <v>6455</v>
      </c>
      <c r="AE112" s="1851">
        <f t="shared" si="86"/>
        <v>5703.8084297958831</v>
      </c>
    </row>
    <row r="113" spans="1:33" ht="29.25" customHeight="1" thickBot="1" x14ac:dyDescent="0.35">
      <c r="A113" s="224"/>
      <c r="B113" s="1927"/>
      <c r="C113" s="2290"/>
      <c r="D113" s="2293"/>
      <c r="E113" s="1889"/>
      <c r="F113" s="1890"/>
      <c r="G113" s="1890"/>
      <c r="H113" s="1891"/>
      <c r="I113" s="1918"/>
      <c r="J113" s="1856"/>
      <c r="K113" s="1857"/>
      <c r="L113" s="1856"/>
      <c r="M113" s="1856"/>
      <c r="N113" s="1856"/>
      <c r="O113" s="1858"/>
      <c r="P113" s="1892"/>
      <c r="Q113" s="1893"/>
      <c r="R113" s="1893"/>
      <c r="S113" s="1893"/>
      <c r="T113" s="1845"/>
      <c r="U113" s="1894"/>
      <c r="V113" s="1895"/>
      <c r="W113" s="1862"/>
      <c r="X113" s="1895"/>
      <c r="Y113" s="1862"/>
      <c r="Z113" s="1863"/>
      <c r="AA113" s="1857"/>
      <c r="AB113" s="1856"/>
      <c r="AC113" s="1856"/>
      <c r="AD113" s="1856"/>
      <c r="AE113" s="1856"/>
    </row>
    <row r="114" spans="1:33" ht="30.75" customHeight="1" thickBot="1" x14ac:dyDescent="0.35">
      <c r="A114" s="320"/>
      <c r="B114" s="1928" t="s">
        <v>45</v>
      </c>
      <c r="C114" s="2279"/>
      <c r="D114" s="2282">
        <f>SUM(D96:D105)</f>
        <v>0</v>
      </c>
      <c r="E114" s="1897">
        <f>SUM(E85:E112)</f>
        <v>200000</v>
      </c>
      <c r="F114" s="1898">
        <f t="shared" ref="F114:H114" si="90">SUM(F85:F112)</f>
        <v>282125</v>
      </c>
      <c r="G114" s="1898">
        <f t="shared" si="90"/>
        <v>17875</v>
      </c>
      <c r="H114" s="1899">
        <f t="shared" si="90"/>
        <v>500000</v>
      </c>
      <c r="I114" s="1900"/>
      <c r="J114" s="1900"/>
      <c r="K114" s="1901"/>
      <c r="L114" s="1900"/>
      <c r="M114" s="1900"/>
      <c r="N114" s="1900">
        <f t="shared" ref="N114" si="91">SUM(N85:N112)</f>
        <v>500000</v>
      </c>
      <c r="O114" s="1902">
        <f>SUM(O85:O112)-0.2</f>
        <v>441813.00137845724</v>
      </c>
      <c r="P114" s="1903">
        <f>SUM(P85:P113)</f>
        <v>75390</v>
      </c>
      <c r="Q114" s="1904">
        <f>SUM(Q85:Q113)</f>
        <v>244014.33000000002</v>
      </c>
      <c r="R114" s="1904">
        <f>SUM(R85:R113)</f>
        <v>56021</v>
      </c>
      <c r="S114" s="1904">
        <f>SUM(S85:S113)</f>
        <v>64825</v>
      </c>
      <c r="T114" s="1904">
        <f>SUM(T85:T113)</f>
        <v>440250.33</v>
      </c>
      <c r="U114" s="1905">
        <f>SUM(U85:U112)</f>
        <v>0</v>
      </c>
      <c r="V114" s="1903">
        <f>SUM(V85:V113)</f>
        <v>440250.33</v>
      </c>
      <c r="W114" s="1905">
        <f>SUM(W85:W113)</f>
        <v>396621.91891891888</v>
      </c>
      <c r="X114" s="1903">
        <f>SUM(X85:X113)</f>
        <v>-59749.67</v>
      </c>
      <c r="Y114" s="1905">
        <f>SUM(Y85:Y113)</f>
        <v>-45191.282459538328</v>
      </c>
      <c r="Z114" s="1906"/>
      <c r="AA114" s="1901">
        <f>SUM(AA85:AA113)</f>
        <v>1520</v>
      </c>
      <c r="AB114" s="1900">
        <f>SUM(AB85:AB113)</f>
        <v>51537.033956043961</v>
      </c>
      <c r="AC114" s="1900">
        <f>SUM(AC85:AC113)</f>
        <v>45539.483923340085</v>
      </c>
      <c r="AD114" s="1900">
        <f>SUM(AD85:AD113)</f>
        <v>440250.33</v>
      </c>
      <c r="AE114" s="1900">
        <f>SUM(AE85:AE113)</f>
        <v>389016.81541044457</v>
      </c>
      <c r="AG114" s="1666"/>
    </row>
    <row r="115" spans="1:33" ht="45" customHeight="1" x14ac:dyDescent="0.3">
      <c r="A115" s="224"/>
      <c r="B115" s="1929"/>
      <c r="C115" s="1930"/>
      <c r="D115" s="1931" t="s">
        <v>1031</v>
      </c>
      <c r="E115" s="1932"/>
      <c r="F115" s="1933"/>
      <c r="G115" s="1933"/>
      <c r="H115" s="1934"/>
      <c r="I115" s="1935"/>
      <c r="J115" s="1936"/>
      <c r="K115" s="1937"/>
      <c r="L115" s="1936"/>
      <c r="M115" s="1936"/>
      <c r="N115" s="1936">
        <f>N64+N75+N82+N114</f>
        <v>903450.5</v>
      </c>
      <c r="O115" s="1938">
        <f>O64+O75+O82+O114</f>
        <v>798312.50538393576</v>
      </c>
      <c r="P115" s="1939"/>
      <c r="Q115" s="1940"/>
      <c r="R115" s="1940"/>
      <c r="S115" s="1940"/>
      <c r="T115" s="1941">
        <f>T64+T75+T82+T114</f>
        <v>1394439.33</v>
      </c>
      <c r="U115" s="1942"/>
      <c r="V115" s="1943">
        <f>V64+V75+V82+V114</f>
        <v>1394439.33</v>
      </c>
      <c r="W115" s="1942">
        <f>W64+W75+W82+W114</f>
        <v>1256251.6486486485</v>
      </c>
      <c r="X115" s="1943">
        <f>X64+X75+X82+X114</f>
        <v>508988.83</v>
      </c>
      <c r="Y115" s="1942">
        <f>Y64+Y75+Y82+Y114</f>
        <v>473844.20851433731</v>
      </c>
      <c r="Z115" s="1944"/>
      <c r="AA115" s="1937"/>
      <c r="AB115" s="1936"/>
      <c r="AC115" s="1936"/>
      <c r="AD115" s="1936">
        <f>AD64+AD75+AD82+AD114</f>
        <v>1394439.33</v>
      </c>
      <c r="AE115" s="1936">
        <f>AE64+AE75+AE82+AE114</f>
        <v>1232163.4090306619</v>
      </c>
    </row>
    <row r="116" spans="1:33" ht="20.25" x14ac:dyDescent="0.3">
      <c r="A116" s="224"/>
      <c r="B116" s="1945"/>
      <c r="C116" s="1946"/>
      <c r="D116" s="1878"/>
      <c r="E116" s="1868"/>
      <c r="F116" s="1869"/>
      <c r="G116" s="1869"/>
      <c r="H116" s="1870"/>
      <c r="I116" s="1947"/>
      <c r="J116" s="1947"/>
      <c r="K116" s="1948"/>
      <c r="L116" s="1947"/>
      <c r="M116" s="1947"/>
      <c r="N116" s="1947"/>
      <c r="O116" s="1468"/>
      <c r="P116" s="1883"/>
      <c r="Q116" s="1845"/>
      <c r="R116" s="1845"/>
      <c r="S116" s="1845"/>
      <c r="T116" s="1845"/>
      <c r="U116" s="1949"/>
      <c r="V116" s="1950"/>
      <c r="W116" s="1951"/>
      <c r="X116" s="1950"/>
      <c r="Y116" s="1949"/>
      <c r="Z116" s="1389"/>
      <c r="AA116" s="1952"/>
      <c r="AB116" s="1953"/>
      <c r="AC116" s="1953"/>
      <c r="AD116" s="1953"/>
      <c r="AE116" s="1953"/>
    </row>
    <row r="117" spans="1:33" ht="30" customHeight="1" x14ac:dyDescent="0.3">
      <c r="A117" s="224"/>
      <c r="B117" s="1954" t="s">
        <v>156</v>
      </c>
      <c r="C117" s="1955"/>
      <c r="D117" s="1956"/>
      <c r="E117" s="1957"/>
      <c r="F117" s="1955"/>
      <c r="G117" s="1955"/>
      <c r="H117" s="1958"/>
      <c r="I117" s="1959"/>
      <c r="J117" s="1947"/>
      <c r="K117" s="1948"/>
      <c r="L117" s="1947"/>
      <c r="M117" s="1947"/>
      <c r="N117" s="1947"/>
      <c r="O117" s="1468"/>
      <c r="P117" s="1960"/>
      <c r="Q117" s="1961"/>
      <c r="R117" s="1961"/>
      <c r="S117" s="1961"/>
      <c r="T117" s="1961"/>
      <c r="U117" s="1949"/>
      <c r="V117" s="1950"/>
      <c r="W117" s="1951"/>
      <c r="X117" s="1950"/>
      <c r="Y117" s="1949"/>
      <c r="Z117" s="1389"/>
      <c r="AA117" s="1952"/>
      <c r="AB117" s="1953"/>
      <c r="AC117" s="1953"/>
      <c r="AD117" s="1953"/>
      <c r="AE117" s="1953"/>
    </row>
    <row r="118" spans="1:33" ht="89.25" customHeight="1" x14ac:dyDescent="0.3">
      <c r="A118" s="305">
        <v>3.1</v>
      </c>
      <c r="B118" s="2708" t="s">
        <v>157</v>
      </c>
      <c r="C118" s="2709"/>
      <c r="D118" s="2709"/>
      <c r="E118" s="1962"/>
      <c r="F118" s="1963"/>
      <c r="G118" s="1963"/>
      <c r="H118" s="1964"/>
      <c r="I118" s="1965"/>
      <c r="J118" s="1965"/>
      <c r="K118" s="1966"/>
      <c r="L118" s="1965"/>
      <c r="M118" s="1965"/>
      <c r="N118" s="1965"/>
      <c r="O118" s="1967"/>
      <c r="P118" s="1960"/>
      <c r="Q118" s="1961"/>
      <c r="R118" s="1961"/>
      <c r="S118" s="1961"/>
      <c r="T118" s="1961"/>
      <c r="U118" s="1968"/>
      <c r="V118" s="1969"/>
      <c r="W118" s="1970"/>
      <c r="X118" s="1969"/>
      <c r="Y118" s="1968"/>
      <c r="Z118" s="1971"/>
      <c r="AA118" s="1972"/>
      <c r="AB118" s="1973"/>
      <c r="AC118" s="1973"/>
      <c r="AD118" s="1973"/>
      <c r="AE118" s="1973"/>
    </row>
    <row r="119" spans="1:33" ht="108.75" customHeight="1" x14ac:dyDescent="0.3">
      <c r="A119" s="224"/>
      <c r="B119" s="1704"/>
      <c r="C119" s="2294" t="s">
        <v>158</v>
      </c>
      <c r="D119" s="2295" t="s">
        <v>549</v>
      </c>
      <c r="E119" s="1974">
        <f>128125</f>
        <v>128125</v>
      </c>
      <c r="F119" s="1975"/>
      <c r="G119" s="1975"/>
      <c r="H119" s="1976">
        <f>SUM(E119:G119)</f>
        <v>128125</v>
      </c>
      <c r="I119" s="1977" t="s">
        <v>337</v>
      </c>
      <c r="J119" s="1978" t="s">
        <v>1010</v>
      </c>
      <c r="K119" s="1979">
        <v>5</v>
      </c>
      <c r="L119" s="1978">
        <f>H119/5</f>
        <v>25625</v>
      </c>
      <c r="M119" s="1978">
        <f>L119/1.1317</f>
        <v>22642.926570645934</v>
      </c>
      <c r="N119" s="1978">
        <f t="shared" ref="N119" si="92">K119*L119</f>
        <v>128125</v>
      </c>
      <c r="O119" s="1980">
        <f t="shared" ref="O119" si="93">N119/1.1317</f>
        <v>113214.63285322966</v>
      </c>
      <c r="P119" s="1981">
        <v>119000</v>
      </c>
      <c r="Q119" s="1982">
        <v>15800</v>
      </c>
      <c r="R119" s="1982">
        <f>4000</f>
        <v>4000</v>
      </c>
      <c r="S119" s="1982"/>
      <c r="T119" s="1961">
        <f t="shared" ref="T119:T120" si="94">SUM(P119:S119)</f>
        <v>138800</v>
      </c>
      <c r="U119" s="1983" t="s">
        <v>889</v>
      </c>
      <c r="V119" s="1984">
        <f>P119+Q119+R119+S119</f>
        <v>138800</v>
      </c>
      <c r="W119" s="1985">
        <f t="shared" ref="W119:W120" si="95">V119/1.11</f>
        <v>125045.04504504503</v>
      </c>
      <c r="X119" s="1984">
        <f>V119-N119</f>
        <v>10675</v>
      </c>
      <c r="Y119" s="1985">
        <f>W119-O119</f>
        <v>11830.412191815369</v>
      </c>
      <c r="Z119" s="1986" t="s">
        <v>1010</v>
      </c>
      <c r="AA119" s="1979">
        <v>6</v>
      </c>
      <c r="AB119" s="1978">
        <f>V119/6</f>
        <v>23133.333333333332</v>
      </c>
      <c r="AC119" s="1978">
        <f>AB119/1.1317</f>
        <v>20441.224117109952</v>
      </c>
      <c r="AD119" s="1978">
        <f t="shared" si="85"/>
        <v>138800</v>
      </c>
      <c r="AE119" s="1978">
        <f t="shared" ref="AE119:AE120" si="96">AD119/1.1317</f>
        <v>122647.34470265973</v>
      </c>
    </row>
    <row r="120" spans="1:33" ht="56.25" customHeight="1" x14ac:dyDescent="0.3">
      <c r="A120" s="224"/>
      <c r="B120" s="1092"/>
      <c r="C120" s="2294" t="s">
        <v>489</v>
      </c>
      <c r="D120" s="2295" t="s">
        <v>490</v>
      </c>
      <c r="E120" s="1974"/>
      <c r="F120" s="1975"/>
      <c r="G120" s="1975"/>
      <c r="H120" s="1976"/>
      <c r="I120" s="1977"/>
      <c r="J120" s="1978"/>
      <c r="K120" s="1979"/>
      <c r="L120" s="1978"/>
      <c r="M120" s="1978"/>
      <c r="N120" s="1978"/>
      <c r="O120" s="1980"/>
      <c r="P120" s="1981"/>
      <c r="Q120" s="1982"/>
      <c r="R120" s="1982"/>
      <c r="S120" s="1982">
        <f>5000</f>
        <v>5000</v>
      </c>
      <c r="T120" s="1961">
        <f t="shared" si="94"/>
        <v>5000</v>
      </c>
      <c r="U120" s="1983" t="s">
        <v>761</v>
      </c>
      <c r="V120" s="1984">
        <f>P120+Q120+R120+S120</f>
        <v>5000</v>
      </c>
      <c r="W120" s="1985">
        <f t="shared" si="95"/>
        <v>4504.5045045045044</v>
      </c>
      <c r="X120" s="1984">
        <f>V120-N120</f>
        <v>5000</v>
      </c>
      <c r="Y120" s="1985">
        <f>W120-O120</f>
        <v>4504.5045045045044</v>
      </c>
      <c r="Z120" s="1986" t="s">
        <v>1064</v>
      </c>
      <c r="AA120" s="1979">
        <v>10</v>
      </c>
      <c r="AB120" s="1978">
        <f>V120/10</f>
        <v>500</v>
      </c>
      <c r="AC120" s="1978">
        <f>AB120/1.1317</f>
        <v>441.81320137845722</v>
      </c>
      <c r="AD120" s="1978">
        <f t="shared" si="85"/>
        <v>5000</v>
      </c>
      <c r="AE120" s="1978">
        <f t="shared" si="96"/>
        <v>4418.1320137845723</v>
      </c>
    </row>
    <row r="121" spans="1:33" ht="32.25" customHeight="1" thickBot="1" x14ac:dyDescent="0.35">
      <c r="A121" s="224"/>
      <c r="B121" s="1092"/>
      <c r="C121" s="1338"/>
      <c r="D121" s="2264"/>
      <c r="E121" s="1987"/>
      <c r="F121" s="1988"/>
      <c r="G121" s="1988"/>
      <c r="H121" s="1989"/>
      <c r="I121" s="1977"/>
      <c r="J121" s="1990"/>
      <c r="K121" s="1991"/>
      <c r="L121" s="1990"/>
      <c r="M121" s="1990"/>
      <c r="N121" s="1990"/>
      <c r="O121" s="1992"/>
      <c r="P121" s="1993"/>
      <c r="Q121" s="1994"/>
      <c r="R121" s="1994"/>
      <c r="S121" s="1994"/>
      <c r="T121" s="1994"/>
      <c r="U121" s="1995"/>
      <c r="V121" s="1996"/>
      <c r="W121" s="1997"/>
      <c r="X121" s="1996"/>
      <c r="Y121" s="1997"/>
      <c r="Z121" s="1998"/>
      <c r="AA121" s="1991"/>
      <c r="AB121" s="1990"/>
      <c r="AC121" s="1990"/>
      <c r="AD121" s="1990"/>
      <c r="AE121" s="1990"/>
    </row>
    <row r="122" spans="1:33" ht="32.25" customHeight="1" thickBot="1" x14ac:dyDescent="0.35">
      <c r="A122" s="224"/>
      <c r="B122" s="1739" t="s">
        <v>45</v>
      </c>
      <c r="C122" s="2279"/>
      <c r="D122" s="2282"/>
      <c r="E122" s="1897">
        <f>SUM(E119:E120)</f>
        <v>128125</v>
      </c>
      <c r="F122" s="1898">
        <f t="shared" ref="F122:H122" si="97">SUM(F119:F120)</f>
        <v>0</v>
      </c>
      <c r="G122" s="1898">
        <f t="shared" si="97"/>
        <v>0</v>
      </c>
      <c r="H122" s="1899">
        <f t="shared" si="97"/>
        <v>128125</v>
      </c>
      <c r="I122" s="1900"/>
      <c r="J122" s="1900"/>
      <c r="K122" s="1901"/>
      <c r="L122" s="1900"/>
      <c r="M122" s="1900"/>
      <c r="N122" s="1900">
        <f t="shared" ref="N122:AE122" si="98">SUM(N119:N121)</f>
        <v>128125</v>
      </c>
      <c r="O122" s="1902">
        <f t="shared" si="98"/>
        <v>113214.63285322966</v>
      </c>
      <c r="P122" s="1903">
        <f t="shared" si="98"/>
        <v>119000</v>
      </c>
      <c r="Q122" s="1904">
        <f t="shared" si="98"/>
        <v>15800</v>
      </c>
      <c r="R122" s="1904">
        <f t="shared" si="98"/>
        <v>4000</v>
      </c>
      <c r="S122" s="1904">
        <f t="shared" si="98"/>
        <v>5000</v>
      </c>
      <c r="T122" s="1904">
        <f t="shared" si="98"/>
        <v>143800</v>
      </c>
      <c r="U122" s="1905">
        <f t="shared" si="98"/>
        <v>0</v>
      </c>
      <c r="V122" s="1903">
        <f t="shared" si="98"/>
        <v>143800</v>
      </c>
      <c r="W122" s="1905">
        <f t="shared" si="98"/>
        <v>129549.54954954953</v>
      </c>
      <c r="X122" s="1903">
        <f t="shared" si="98"/>
        <v>15675</v>
      </c>
      <c r="Y122" s="1905">
        <f t="shared" si="98"/>
        <v>16334.916696319873</v>
      </c>
      <c r="Z122" s="1906"/>
      <c r="AA122" s="1901"/>
      <c r="AB122" s="1900">
        <f t="shared" si="98"/>
        <v>23633.333333333332</v>
      </c>
      <c r="AC122" s="1900">
        <f t="shared" si="98"/>
        <v>20883.037318488408</v>
      </c>
      <c r="AD122" s="1900">
        <f t="shared" si="98"/>
        <v>143800</v>
      </c>
      <c r="AE122" s="1900">
        <f t="shared" si="98"/>
        <v>127065.4767164443</v>
      </c>
    </row>
    <row r="123" spans="1:33" ht="32.25" customHeight="1" x14ac:dyDescent="0.3">
      <c r="A123" s="224"/>
      <c r="B123" s="1999"/>
      <c r="C123" s="2000"/>
      <c r="D123" s="2001" t="s">
        <v>1032</v>
      </c>
      <c r="E123" s="2002"/>
      <c r="F123" s="2003"/>
      <c r="G123" s="2003"/>
      <c r="H123" s="2004"/>
      <c r="I123" s="1327"/>
      <c r="J123" s="2005"/>
      <c r="K123" s="2006"/>
      <c r="L123" s="2005"/>
      <c r="M123" s="2005"/>
      <c r="N123" s="2005">
        <f>SUM(N122)</f>
        <v>128125</v>
      </c>
      <c r="O123" s="2007">
        <f>SUM(O122)+0.37</f>
        <v>113215.00285322966</v>
      </c>
      <c r="P123" s="2008"/>
      <c r="Q123" s="2009"/>
      <c r="R123" s="2009"/>
      <c r="S123" s="2009"/>
      <c r="T123" s="2009">
        <f>SUM(T122)</f>
        <v>143800</v>
      </c>
      <c r="U123" s="2010"/>
      <c r="V123" s="2008">
        <f t="shared" ref="V123:Y123" si="99">SUM(V122)</f>
        <v>143800</v>
      </c>
      <c r="W123" s="2010">
        <f t="shared" si="99"/>
        <v>129549.54954954953</v>
      </c>
      <c r="X123" s="2008">
        <f t="shared" si="99"/>
        <v>15675</v>
      </c>
      <c r="Y123" s="2010">
        <f t="shared" si="99"/>
        <v>16334.916696319873</v>
      </c>
      <c r="Z123" s="2011"/>
      <c r="AA123" s="2006"/>
      <c r="AB123" s="2005"/>
      <c r="AC123" s="2005"/>
      <c r="AD123" s="2005">
        <f t="shared" ref="AD123:AE123" si="100">SUM(AD122)</f>
        <v>143800</v>
      </c>
      <c r="AE123" s="2005">
        <f t="shared" si="100"/>
        <v>127065.4767164443</v>
      </c>
    </row>
    <row r="124" spans="1:33" ht="17.25" customHeight="1" thickBot="1" x14ac:dyDescent="0.35">
      <c r="A124" s="224"/>
      <c r="B124" s="1337"/>
      <c r="C124" s="1004"/>
      <c r="D124" s="1119"/>
      <c r="E124" s="2012"/>
      <c r="F124" s="2013"/>
      <c r="G124" s="2013"/>
      <c r="H124" s="2014"/>
      <c r="I124" s="2349"/>
      <c r="J124" s="1755"/>
      <c r="K124" s="1756"/>
      <c r="L124" s="1755"/>
      <c r="M124" s="1755"/>
      <c r="N124" s="1755"/>
      <c r="O124" s="1757"/>
      <c r="P124" s="1500"/>
      <c r="Q124" s="1304"/>
      <c r="R124" s="1304"/>
      <c r="S124" s="1304"/>
      <c r="T124" s="1304"/>
      <c r="U124" s="1758"/>
      <c r="V124" s="1759"/>
      <c r="W124" s="1871"/>
      <c r="X124" s="1759"/>
      <c r="Y124" s="1758"/>
      <c r="Z124" s="1760"/>
      <c r="AA124" s="1756"/>
      <c r="AB124" s="1755"/>
      <c r="AC124" s="1755"/>
      <c r="AD124" s="1755"/>
      <c r="AE124" s="1755"/>
    </row>
    <row r="125" spans="1:33" ht="41.25" customHeight="1" x14ac:dyDescent="0.3">
      <c r="A125" s="236">
        <v>4</v>
      </c>
      <c r="B125" s="2015" t="s">
        <v>160</v>
      </c>
      <c r="C125" s="2016"/>
      <c r="D125" s="2017"/>
      <c r="E125" s="1957"/>
      <c r="F125" s="1955"/>
      <c r="G125" s="1955"/>
      <c r="H125" s="1958"/>
      <c r="I125" s="2018"/>
      <c r="J125" s="1872"/>
      <c r="K125" s="1873"/>
      <c r="L125" s="1872"/>
      <c r="M125" s="1872"/>
      <c r="N125" s="1872"/>
      <c r="O125" s="1467"/>
      <c r="P125" s="1467"/>
      <c r="Q125" s="2019"/>
      <c r="R125" s="2020"/>
      <c r="S125" s="2020"/>
      <c r="T125" s="2020"/>
      <c r="U125" s="1877"/>
      <c r="V125" s="1874"/>
      <c r="W125" s="1877"/>
      <c r="X125" s="1874"/>
      <c r="Y125" s="1876"/>
      <c r="Z125" s="1390"/>
      <c r="AA125" s="1873"/>
      <c r="AB125" s="1872"/>
      <c r="AC125" s="1872"/>
      <c r="AD125" s="1872"/>
      <c r="AE125" s="1872"/>
    </row>
    <row r="126" spans="1:33" ht="63" customHeight="1" x14ac:dyDescent="0.3">
      <c r="A126" s="305">
        <v>4.0999999999999996</v>
      </c>
      <c r="B126" s="2708" t="s">
        <v>161</v>
      </c>
      <c r="C126" s="2707"/>
      <c r="D126" s="2707"/>
      <c r="E126" s="1962"/>
      <c r="F126" s="1963"/>
      <c r="G126" s="1963"/>
      <c r="H126" s="1964"/>
      <c r="I126" s="1978"/>
      <c r="J126" s="1978"/>
      <c r="K126" s="1979"/>
      <c r="L126" s="1978"/>
      <c r="M126" s="1978"/>
      <c r="N126" s="1978"/>
      <c r="O126" s="1980"/>
      <c r="P126" s="1960"/>
      <c r="Q126" s="1961"/>
      <c r="R126" s="1961"/>
      <c r="S126" s="1961"/>
      <c r="T126" s="1961"/>
      <c r="U126" s="2021"/>
      <c r="V126" s="1960"/>
      <c r="W126" s="1985"/>
      <c r="X126" s="1960"/>
      <c r="Y126" s="2021"/>
      <c r="Z126" s="1986"/>
      <c r="AA126" s="1979"/>
      <c r="AB126" s="1978"/>
      <c r="AC126" s="1978"/>
      <c r="AD126" s="1978"/>
      <c r="AE126" s="1978"/>
    </row>
    <row r="127" spans="1:33" ht="97.5" customHeight="1" x14ac:dyDescent="0.3">
      <c r="A127" s="224"/>
      <c r="B127" s="1704"/>
      <c r="C127" s="2296" t="s">
        <v>981</v>
      </c>
      <c r="D127" s="2245" t="s">
        <v>714</v>
      </c>
      <c r="E127" s="1974">
        <f>2400</f>
        <v>2400</v>
      </c>
      <c r="F127" s="1975">
        <f>2400</f>
        <v>2400</v>
      </c>
      <c r="G127" s="1975">
        <f>2400</f>
        <v>2400</v>
      </c>
      <c r="H127" s="1976">
        <f t="shared" ref="H127:H151" si="101">SUM(E127:G127)</f>
        <v>7200</v>
      </c>
      <c r="I127" s="2022" t="s">
        <v>162</v>
      </c>
      <c r="J127" s="1978" t="s">
        <v>1007</v>
      </c>
      <c r="K127" s="1979">
        <v>90</v>
      </c>
      <c r="L127" s="1978">
        <f>H127/90</f>
        <v>80</v>
      </c>
      <c r="M127" s="1978">
        <f t="shared" ref="M127:M151" si="102">L127/1.1317</f>
        <v>70.690112220553161</v>
      </c>
      <c r="N127" s="1978">
        <f t="shared" ref="N127:N151" si="103">K127*L127</f>
        <v>7200</v>
      </c>
      <c r="O127" s="1980">
        <f t="shared" ref="O127" si="104">N127/1.1317</f>
        <v>6362.1100998497841</v>
      </c>
      <c r="P127" s="1981"/>
      <c r="Q127" s="1982">
        <v>212</v>
      </c>
      <c r="R127" s="1982">
        <f>2070+718</f>
        <v>2788</v>
      </c>
      <c r="S127" s="1982">
        <f>1800</f>
        <v>1800</v>
      </c>
      <c r="T127" s="1961">
        <f t="shared" ref="T127:T151" si="105">SUM(P127:S127)</f>
        <v>4800</v>
      </c>
      <c r="U127" s="1983" t="s">
        <v>1065</v>
      </c>
      <c r="V127" s="1984">
        <f t="shared" ref="V127:V133" si="106">P127+Q127+R127+S127</f>
        <v>4800</v>
      </c>
      <c r="W127" s="1985">
        <f t="shared" ref="W127:W151" si="107">V127/1.11</f>
        <v>4324.3243243243242</v>
      </c>
      <c r="X127" s="1984">
        <f t="shared" ref="X127:X151" si="108">V127-N127</f>
        <v>-2400</v>
      </c>
      <c r="Y127" s="1985">
        <f t="shared" ref="Y127:Y151" si="109">W127-O127</f>
        <v>-2037.7857755254599</v>
      </c>
      <c r="Z127" s="1986" t="s">
        <v>1007</v>
      </c>
      <c r="AA127" s="1979">
        <v>16</v>
      </c>
      <c r="AB127" s="1978">
        <f>V127/16</f>
        <v>300</v>
      </c>
      <c r="AC127" s="1978">
        <f t="shared" ref="AC127:AC151" si="110">AB127/1.1317</f>
        <v>265.08792082707436</v>
      </c>
      <c r="AD127" s="1978">
        <f t="shared" si="85"/>
        <v>4800</v>
      </c>
      <c r="AE127" s="1978">
        <f t="shared" ref="AE127:AE151" si="111">AD127/1.1317</f>
        <v>4241.4067332331897</v>
      </c>
    </row>
    <row r="128" spans="1:33" ht="60" customHeight="1" x14ac:dyDescent="0.3">
      <c r="A128" s="224"/>
      <c r="B128" s="1092"/>
      <c r="C128" s="2297" t="s">
        <v>491</v>
      </c>
      <c r="D128" s="2280" t="s">
        <v>748</v>
      </c>
      <c r="E128" s="1974">
        <f>55400</f>
        <v>55400</v>
      </c>
      <c r="F128" s="1975">
        <f>60480</f>
        <v>60480</v>
      </c>
      <c r="G128" s="1975">
        <f>60480</f>
        <v>60480</v>
      </c>
      <c r="H128" s="1976">
        <f t="shared" si="101"/>
        <v>176360</v>
      </c>
      <c r="I128" s="2022" t="s">
        <v>368</v>
      </c>
      <c r="J128" s="1978" t="s">
        <v>1011</v>
      </c>
      <c r="K128" s="1979">
        <v>34</v>
      </c>
      <c r="L128" s="1978">
        <f>H128/34</f>
        <v>5187.0588235294117</v>
      </c>
      <c r="M128" s="1978">
        <f t="shared" si="102"/>
        <v>4583.4221291238064</v>
      </c>
      <c r="N128" s="1978">
        <f t="shared" si="103"/>
        <v>176360</v>
      </c>
      <c r="O128" s="1980">
        <f>N128/1.1317</f>
        <v>155836.35239020942</v>
      </c>
      <c r="P128" s="1981">
        <f>45700</f>
        <v>45700</v>
      </c>
      <c r="Q128" s="1982">
        <f>54860</f>
        <v>54860</v>
      </c>
      <c r="R128" s="1982">
        <f>54240</f>
        <v>54240</v>
      </c>
      <c r="S128" s="1982">
        <f>4520*12</f>
        <v>54240</v>
      </c>
      <c r="T128" s="1961">
        <f t="shared" si="105"/>
        <v>209040</v>
      </c>
      <c r="U128" s="1983" t="s">
        <v>727</v>
      </c>
      <c r="V128" s="1984">
        <f t="shared" si="106"/>
        <v>209040</v>
      </c>
      <c r="W128" s="1985">
        <f t="shared" si="107"/>
        <v>188324.32432432432</v>
      </c>
      <c r="X128" s="1984">
        <f t="shared" si="108"/>
        <v>32680</v>
      </c>
      <c r="Y128" s="1985">
        <f t="shared" si="109"/>
        <v>32487.971934114903</v>
      </c>
      <c r="Z128" s="1986" t="s">
        <v>1011</v>
      </c>
      <c r="AA128" s="1979">
        <v>46</v>
      </c>
      <c r="AB128" s="1978">
        <f>V128/46</f>
        <v>4544.347826086957</v>
      </c>
      <c r="AC128" s="1978">
        <f t="shared" si="110"/>
        <v>4015.5057224414218</v>
      </c>
      <c r="AD128" s="1978">
        <f t="shared" si="85"/>
        <v>209040.00000000003</v>
      </c>
      <c r="AE128" s="1978">
        <f t="shared" si="111"/>
        <v>184713.26323230541</v>
      </c>
    </row>
    <row r="129" spans="1:31" ht="58.5" customHeight="1" x14ac:dyDescent="0.3">
      <c r="A129" s="224"/>
      <c r="B129" s="1092"/>
      <c r="C129" s="2297" t="s">
        <v>492</v>
      </c>
      <c r="D129" s="2280" t="s">
        <v>747</v>
      </c>
      <c r="E129" s="1974">
        <f>76400</f>
        <v>76400</v>
      </c>
      <c r="F129" s="1975">
        <f>91680</f>
        <v>91680</v>
      </c>
      <c r="G129" s="1975">
        <f>91680</f>
        <v>91680</v>
      </c>
      <c r="H129" s="1976">
        <f t="shared" si="101"/>
        <v>259760</v>
      </c>
      <c r="I129" s="2022" t="s">
        <v>367</v>
      </c>
      <c r="J129" s="1978" t="s">
        <v>1011</v>
      </c>
      <c r="K129" s="1979">
        <v>34</v>
      </c>
      <c r="L129" s="1978">
        <f>H129/34</f>
        <v>7640</v>
      </c>
      <c r="M129" s="1978">
        <f t="shared" si="102"/>
        <v>6750.9057170628266</v>
      </c>
      <c r="N129" s="1978">
        <f t="shared" si="103"/>
        <v>259760</v>
      </c>
      <c r="O129" s="1980">
        <f t="shared" ref="O129:O151" si="112">N129/1.1317</f>
        <v>229530.7943801361</v>
      </c>
      <c r="P129" s="1981">
        <f>70461</f>
        <v>70461</v>
      </c>
      <c r="Q129" s="1982">
        <f>79220</f>
        <v>79220</v>
      </c>
      <c r="R129" s="1982">
        <f>6550*12</f>
        <v>78600</v>
      </c>
      <c r="S129" s="1982">
        <f>6550*12</f>
        <v>78600</v>
      </c>
      <c r="T129" s="1961">
        <f t="shared" si="105"/>
        <v>306881</v>
      </c>
      <c r="U129" s="1983" t="s">
        <v>676</v>
      </c>
      <c r="V129" s="1984">
        <f t="shared" si="106"/>
        <v>306881</v>
      </c>
      <c r="W129" s="1985">
        <f t="shared" si="107"/>
        <v>276469.36936936935</v>
      </c>
      <c r="X129" s="1984">
        <f t="shared" si="108"/>
        <v>47121</v>
      </c>
      <c r="Y129" s="1985">
        <f t="shared" si="109"/>
        <v>46938.574989233253</v>
      </c>
      <c r="Z129" s="1986" t="s">
        <v>1011</v>
      </c>
      <c r="AA129" s="1979">
        <v>46</v>
      </c>
      <c r="AB129" s="1978">
        <f>V129/46</f>
        <v>6671.326086956522</v>
      </c>
      <c r="AC129" s="1978">
        <f t="shared" si="110"/>
        <v>5894.9598718357538</v>
      </c>
      <c r="AD129" s="1978">
        <f t="shared" si="85"/>
        <v>306881</v>
      </c>
      <c r="AE129" s="1978">
        <f t="shared" si="111"/>
        <v>271168.15410444466</v>
      </c>
    </row>
    <row r="130" spans="1:31" ht="51" customHeight="1" x14ac:dyDescent="0.3">
      <c r="A130" s="224"/>
      <c r="B130" s="1092"/>
      <c r="C130" s="2297" t="s">
        <v>493</v>
      </c>
      <c r="D130" s="2280" t="s">
        <v>746</v>
      </c>
      <c r="E130" s="1974"/>
      <c r="F130" s="1975"/>
      <c r="G130" s="1975"/>
      <c r="H130" s="1976">
        <f t="shared" si="101"/>
        <v>0</v>
      </c>
      <c r="I130" s="2022"/>
      <c r="J130" s="1978"/>
      <c r="K130" s="1979">
        <v>0</v>
      </c>
      <c r="L130" s="1978">
        <f t="shared" ref="L130:L151" si="113">H130/5</f>
        <v>0</v>
      </c>
      <c r="M130" s="1978">
        <f t="shared" si="102"/>
        <v>0</v>
      </c>
      <c r="N130" s="1978">
        <f t="shared" si="103"/>
        <v>0</v>
      </c>
      <c r="O130" s="1980">
        <f t="shared" si="112"/>
        <v>0</v>
      </c>
      <c r="P130" s="1981"/>
      <c r="Q130" s="1982">
        <v>4865</v>
      </c>
      <c r="R130" s="1982">
        <f>400*12</f>
        <v>4800</v>
      </c>
      <c r="S130" s="1982">
        <f>400*12</f>
        <v>4800</v>
      </c>
      <c r="T130" s="1961">
        <f t="shared" si="105"/>
        <v>14465</v>
      </c>
      <c r="U130" s="1983" t="s">
        <v>677</v>
      </c>
      <c r="V130" s="1984">
        <f t="shared" si="106"/>
        <v>14465</v>
      </c>
      <c r="W130" s="1985">
        <f t="shared" si="107"/>
        <v>13031.531531531531</v>
      </c>
      <c r="X130" s="1984">
        <f t="shared" si="108"/>
        <v>14465</v>
      </c>
      <c r="Y130" s="1985">
        <f t="shared" si="109"/>
        <v>13031.531531531531</v>
      </c>
      <c r="Z130" s="1986" t="s">
        <v>1066</v>
      </c>
      <c r="AA130" s="1979">
        <v>36</v>
      </c>
      <c r="AB130" s="1978">
        <f>V130/36</f>
        <v>401.80555555555554</v>
      </c>
      <c r="AC130" s="1978">
        <f t="shared" si="110"/>
        <v>355.04599766329909</v>
      </c>
      <c r="AD130" s="1978">
        <f t="shared" si="85"/>
        <v>14465</v>
      </c>
      <c r="AE130" s="1978">
        <f t="shared" si="111"/>
        <v>12781.655915878768</v>
      </c>
    </row>
    <row r="131" spans="1:31" ht="74.25" customHeight="1" x14ac:dyDescent="0.3">
      <c r="A131" s="224"/>
      <c r="B131" s="1303"/>
      <c r="C131" s="2297" t="s">
        <v>1076</v>
      </c>
      <c r="D131" s="2280" t="s">
        <v>608</v>
      </c>
      <c r="E131" s="1974">
        <f>120000</f>
        <v>120000</v>
      </c>
      <c r="F131" s="1975"/>
      <c r="G131" s="1975"/>
      <c r="H131" s="1976">
        <f t="shared" si="101"/>
        <v>120000</v>
      </c>
      <c r="I131" s="2022" t="s">
        <v>163</v>
      </c>
      <c r="J131" s="1978" t="s">
        <v>1012</v>
      </c>
      <c r="K131" s="1979">
        <v>3</v>
      </c>
      <c r="L131" s="1978">
        <f>H131/3</f>
        <v>40000</v>
      </c>
      <c r="M131" s="1978">
        <f t="shared" si="102"/>
        <v>35345.056110276579</v>
      </c>
      <c r="N131" s="1978">
        <f t="shared" si="103"/>
        <v>120000</v>
      </c>
      <c r="O131" s="1980">
        <f t="shared" si="112"/>
        <v>106035.16833082974</v>
      </c>
      <c r="P131" s="1981"/>
      <c r="Q131" s="1982">
        <f>21896.67</f>
        <v>21896.67</v>
      </c>
      <c r="R131" s="1982"/>
      <c r="S131" s="1982"/>
      <c r="T131" s="1961">
        <f t="shared" si="105"/>
        <v>21896.67</v>
      </c>
      <c r="U131" s="1983" t="s">
        <v>773</v>
      </c>
      <c r="V131" s="1984">
        <f t="shared" si="106"/>
        <v>21896.67</v>
      </c>
      <c r="W131" s="1985">
        <f t="shared" si="107"/>
        <v>19726.729729729726</v>
      </c>
      <c r="X131" s="1984">
        <f t="shared" si="108"/>
        <v>-98103.33</v>
      </c>
      <c r="Y131" s="1985">
        <f t="shared" si="109"/>
        <v>-86308.438601100002</v>
      </c>
      <c r="Z131" s="1986" t="s">
        <v>1012</v>
      </c>
      <c r="AA131" s="1979">
        <v>1</v>
      </c>
      <c r="AB131" s="1978">
        <f>V131/1</f>
        <v>21896.67</v>
      </c>
      <c r="AC131" s="1978">
        <f t="shared" si="110"/>
        <v>19348.475744455245</v>
      </c>
      <c r="AD131" s="1978">
        <f t="shared" si="85"/>
        <v>21896.67</v>
      </c>
      <c r="AE131" s="1978">
        <f t="shared" si="111"/>
        <v>19348.475744455245</v>
      </c>
    </row>
    <row r="132" spans="1:31" ht="60" customHeight="1" x14ac:dyDescent="0.3">
      <c r="A132" s="224"/>
      <c r="B132" s="1303"/>
      <c r="C132" s="2297" t="s">
        <v>495</v>
      </c>
      <c r="D132" s="2280" t="s">
        <v>496</v>
      </c>
      <c r="E132" s="1974"/>
      <c r="F132" s="1975"/>
      <c r="G132" s="1975"/>
      <c r="H132" s="1976">
        <f t="shared" si="101"/>
        <v>0</v>
      </c>
      <c r="I132" s="2023"/>
      <c r="J132" s="1978"/>
      <c r="K132" s="1979">
        <v>0</v>
      </c>
      <c r="L132" s="1978">
        <f t="shared" si="113"/>
        <v>0</v>
      </c>
      <c r="M132" s="1978">
        <f t="shared" si="102"/>
        <v>0</v>
      </c>
      <c r="N132" s="1978">
        <f t="shared" si="103"/>
        <v>0</v>
      </c>
      <c r="O132" s="1980">
        <f t="shared" si="112"/>
        <v>0</v>
      </c>
      <c r="P132" s="1981"/>
      <c r="Q132" s="1982">
        <v>58820</v>
      </c>
      <c r="R132" s="1982"/>
      <c r="S132" s="1982"/>
      <c r="T132" s="1961">
        <f t="shared" si="105"/>
        <v>58820</v>
      </c>
      <c r="U132" s="1983" t="s">
        <v>497</v>
      </c>
      <c r="V132" s="1984">
        <f t="shared" si="106"/>
        <v>58820</v>
      </c>
      <c r="W132" s="1985">
        <f t="shared" si="107"/>
        <v>52990.990990990984</v>
      </c>
      <c r="X132" s="1984">
        <f t="shared" si="108"/>
        <v>58820</v>
      </c>
      <c r="Y132" s="1985">
        <f t="shared" si="109"/>
        <v>52990.990990990984</v>
      </c>
      <c r="Z132" s="1986" t="s">
        <v>1067</v>
      </c>
      <c r="AA132" s="1979">
        <v>2</v>
      </c>
      <c r="AB132" s="1978">
        <f>V132/2</f>
        <v>29410</v>
      </c>
      <c r="AC132" s="1978">
        <f t="shared" si="110"/>
        <v>25987.452505080855</v>
      </c>
      <c r="AD132" s="1978">
        <f t="shared" si="85"/>
        <v>58820</v>
      </c>
      <c r="AE132" s="1978">
        <f t="shared" si="111"/>
        <v>51974.90501016171</v>
      </c>
    </row>
    <row r="133" spans="1:31" ht="84" customHeight="1" x14ac:dyDescent="0.3">
      <c r="A133" s="224"/>
      <c r="B133" s="1092"/>
      <c r="C133" s="2241" t="s">
        <v>164</v>
      </c>
      <c r="D133" s="2247" t="s">
        <v>745</v>
      </c>
      <c r="E133" s="1974">
        <f>4200</f>
        <v>4200</v>
      </c>
      <c r="F133" s="1975"/>
      <c r="G133" s="1975"/>
      <c r="H133" s="1976">
        <f t="shared" si="101"/>
        <v>4200</v>
      </c>
      <c r="I133" s="2023" t="s">
        <v>166</v>
      </c>
      <c r="J133" s="1978" t="s">
        <v>1008</v>
      </c>
      <c r="K133" s="1979">
        <v>2</v>
      </c>
      <c r="L133" s="1978">
        <f>H133/2</f>
        <v>2100</v>
      </c>
      <c r="M133" s="1978">
        <f t="shared" si="102"/>
        <v>1855.6154457895202</v>
      </c>
      <c r="N133" s="1978">
        <f t="shared" si="103"/>
        <v>4200</v>
      </c>
      <c r="O133" s="1980">
        <f t="shared" si="112"/>
        <v>3711.2308915790404</v>
      </c>
      <c r="P133" s="2025">
        <v>1550</v>
      </c>
      <c r="Q133" s="2026"/>
      <c r="R133" s="2026"/>
      <c r="S133" s="2026"/>
      <c r="T133" s="1961">
        <f t="shared" si="105"/>
        <v>1550</v>
      </c>
      <c r="U133" s="1983" t="s">
        <v>609</v>
      </c>
      <c r="V133" s="1984">
        <f t="shared" si="106"/>
        <v>1550</v>
      </c>
      <c r="W133" s="1985">
        <f t="shared" si="107"/>
        <v>1396.3963963963963</v>
      </c>
      <c r="X133" s="1984">
        <f t="shared" si="108"/>
        <v>-2650</v>
      </c>
      <c r="Y133" s="1985">
        <f t="shared" si="109"/>
        <v>-2314.8344951826439</v>
      </c>
      <c r="Z133" s="1986" t="s">
        <v>1008</v>
      </c>
      <c r="AA133" s="1979">
        <v>2</v>
      </c>
      <c r="AB133" s="1978">
        <f>V133/2</f>
        <v>775</v>
      </c>
      <c r="AC133" s="1978">
        <f t="shared" si="110"/>
        <v>684.81046213660863</v>
      </c>
      <c r="AD133" s="1978">
        <f t="shared" si="85"/>
        <v>1550</v>
      </c>
      <c r="AE133" s="1978">
        <f t="shared" si="111"/>
        <v>1369.6209242732173</v>
      </c>
    </row>
    <row r="134" spans="1:31" ht="69" customHeight="1" x14ac:dyDescent="0.3">
      <c r="A134" s="224"/>
      <c r="B134" s="1092"/>
      <c r="C134" s="2241" t="s">
        <v>167</v>
      </c>
      <c r="D134" s="2247" t="s">
        <v>168</v>
      </c>
      <c r="E134" s="2027">
        <f>4000</f>
        <v>4000</v>
      </c>
      <c r="F134" s="2028"/>
      <c r="G134" s="2028"/>
      <c r="H134" s="1976">
        <f t="shared" si="101"/>
        <v>4000</v>
      </c>
      <c r="I134" s="2022" t="s">
        <v>170</v>
      </c>
      <c r="J134" s="1978" t="s">
        <v>1001</v>
      </c>
      <c r="K134" s="1979">
        <v>10</v>
      </c>
      <c r="L134" s="1978">
        <f>H134/10</f>
        <v>400</v>
      </c>
      <c r="M134" s="1978">
        <f t="shared" si="102"/>
        <v>353.45056110276579</v>
      </c>
      <c r="N134" s="1978">
        <f t="shared" si="103"/>
        <v>4000</v>
      </c>
      <c r="O134" s="1980">
        <f t="shared" si="112"/>
        <v>3534.5056110276578</v>
      </c>
      <c r="P134" s="2025"/>
      <c r="Q134" s="2026"/>
      <c r="R134" s="2026"/>
      <c r="S134" s="2026"/>
      <c r="T134" s="1961"/>
      <c r="U134" s="1983"/>
      <c r="V134" s="1984"/>
      <c r="W134" s="1985"/>
      <c r="X134" s="1984">
        <f t="shared" si="108"/>
        <v>-4000</v>
      </c>
      <c r="Y134" s="1985">
        <f t="shared" si="109"/>
        <v>-3534.5056110276578</v>
      </c>
      <c r="Z134" s="1986"/>
      <c r="AA134" s="1979"/>
      <c r="AB134" s="1978"/>
      <c r="AC134" s="1978"/>
      <c r="AD134" s="1978"/>
      <c r="AE134" s="1978">
        <f t="shared" si="111"/>
        <v>0</v>
      </c>
    </row>
    <row r="135" spans="1:31" ht="87" customHeight="1" x14ac:dyDescent="0.3">
      <c r="A135" s="224"/>
      <c r="B135" s="1092"/>
      <c r="C135" s="2298" t="s">
        <v>171</v>
      </c>
      <c r="D135" s="2292" t="s">
        <v>172</v>
      </c>
      <c r="E135" s="2027">
        <f>35385</f>
        <v>35385</v>
      </c>
      <c r="F135" s="2028">
        <f>38505</f>
        <v>38505</v>
      </c>
      <c r="G135" s="2028"/>
      <c r="H135" s="1976">
        <f t="shared" si="101"/>
        <v>73890</v>
      </c>
      <c r="I135" s="2022" t="s">
        <v>333</v>
      </c>
      <c r="J135" s="1978" t="s">
        <v>1007</v>
      </c>
      <c r="K135" s="1979">
        <v>62</v>
      </c>
      <c r="L135" s="1978">
        <f>H135/62</f>
        <v>1191.7741935483871</v>
      </c>
      <c r="M135" s="1978">
        <f t="shared" si="102"/>
        <v>1053.0831435436839</v>
      </c>
      <c r="N135" s="1978">
        <f t="shared" si="103"/>
        <v>73890</v>
      </c>
      <c r="O135" s="1980">
        <f t="shared" si="112"/>
        <v>65291.15489970841</v>
      </c>
      <c r="P135" s="2025"/>
      <c r="Q135" s="2026"/>
      <c r="R135" s="2026"/>
      <c r="S135" s="2026"/>
      <c r="T135" s="1961"/>
      <c r="U135" s="1983"/>
      <c r="V135" s="1984"/>
      <c r="W135" s="1985"/>
      <c r="X135" s="1984">
        <f t="shared" si="108"/>
        <v>-73890</v>
      </c>
      <c r="Y135" s="1985">
        <f t="shared" si="109"/>
        <v>-65291.15489970841</v>
      </c>
      <c r="Z135" s="1986"/>
      <c r="AA135" s="1979"/>
      <c r="AB135" s="1978"/>
      <c r="AC135" s="1978"/>
      <c r="AD135" s="1978"/>
      <c r="AE135" s="1978">
        <f t="shared" si="111"/>
        <v>0</v>
      </c>
    </row>
    <row r="136" spans="1:31" ht="88.5" customHeight="1" x14ac:dyDescent="0.3">
      <c r="A136" s="224"/>
      <c r="B136" s="1092"/>
      <c r="C136" s="2297" t="s">
        <v>174</v>
      </c>
      <c r="D136" s="2280" t="s">
        <v>175</v>
      </c>
      <c r="E136" s="1974">
        <f>4000</f>
        <v>4000</v>
      </c>
      <c r="F136" s="1975">
        <f>6000</f>
        <v>6000</v>
      </c>
      <c r="G136" s="1975">
        <f>6000</f>
        <v>6000</v>
      </c>
      <c r="H136" s="1976">
        <f t="shared" si="101"/>
        <v>16000</v>
      </c>
      <c r="I136" s="2023" t="s">
        <v>176</v>
      </c>
      <c r="J136" s="1978" t="s">
        <v>1013</v>
      </c>
      <c r="K136" s="1979">
        <v>3</v>
      </c>
      <c r="L136" s="1978">
        <f>H136/3</f>
        <v>5333.333333333333</v>
      </c>
      <c r="M136" s="1978">
        <f t="shared" si="102"/>
        <v>4712.6741480368764</v>
      </c>
      <c r="N136" s="1978">
        <f t="shared" si="103"/>
        <v>16000</v>
      </c>
      <c r="O136" s="1980">
        <f t="shared" si="112"/>
        <v>14138.022444110631</v>
      </c>
      <c r="P136" s="1981">
        <f>733</f>
        <v>733</v>
      </c>
      <c r="Q136" s="1982">
        <v>850</v>
      </c>
      <c r="R136" s="1982">
        <f>10000</f>
        <v>10000</v>
      </c>
      <c r="S136" s="1982">
        <f>3617</f>
        <v>3617</v>
      </c>
      <c r="T136" s="1961">
        <f t="shared" si="105"/>
        <v>15200</v>
      </c>
      <c r="U136" s="1983" t="s">
        <v>774</v>
      </c>
      <c r="V136" s="1984">
        <f t="shared" ref="V136:V144" si="114">P136+Q136+R136+S136</f>
        <v>15200</v>
      </c>
      <c r="W136" s="1985">
        <f t="shared" si="107"/>
        <v>13693.693693693693</v>
      </c>
      <c r="X136" s="1984">
        <f t="shared" si="108"/>
        <v>-800</v>
      </c>
      <c r="Y136" s="1985">
        <f t="shared" si="109"/>
        <v>-444.32875041693842</v>
      </c>
      <c r="Z136" s="1986" t="s">
        <v>1013</v>
      </c>
      <c r="AA136" s="1979">
        <v>4</v>
      </c>
      <c r="AB136" s="1978">
        <f>V136/4</f>
        <v>3800</v>
      </c>
      <c r="AC136" s="1978">
        <f t="shared" si="110"/>
        <v>3357.7803304762747</v>
      </c>
      <c r="AD136" s="1978">
        <f t="shared" si="85"/>
        <v>15200</v>
      </c>
      <c r="AE136" s="1978">
        <f t="shared" si="111"/>
        <v>13431.121321905099</v>
      </c>
    </row>
    <row r="137" spans="1:31" ht="92.25" customHeight="1" x14ac:dyDescent="0.3">
      <c r="A137" s="224"/>
      <c r="B137" s="1092"/>
      <c r="C137" s="2241" t="s">
        <v>177</v>
      </c>
      <c r="D137" s="2247" t="s">
        <v>178</v>
      </c>
      <c r="E137" s="1974">
        <f>5000</f>
        <v>5000</v>
      </c>
      <c r="F137" s="1975">
        <f>5000</f>
        <v>5000</v>
      </c>
      <c r="G137" s="1975">
        <f>5000</f>
        <v>5000</v>
      </c>
      <c r="H137" s="1976">
        <f t="shared" si="101"/>
        <v>15000</v>
      </c>
      <c r="I137" s="2022" t="s">
        <v>179</v>
      </c>
      <c r="J137" s="1978" t="s">
        <v>1013</v>
      </c>
      <c r="K137" s="1979">
        <v>3</v>
      </c>
      <c r="L137" s="1978">
        <f>H137/3</f>
        <v>5000</v>
      </c>
      <c r="M137" s="1978">
        <f t="shared" si="102"/>
        <v>4418.1320137845723</v>
      </c>
      <c r="N137" s="1978">
        <f t="shared" si="103"/>
        <v>15000</v>
      </c>
      <c r="O137" s="1980">
        <f t="shared" si="112"/>
        <v>13254.396041353717</v>
      </c>
      <c r="P137" s="1981">
        <v>9120</v>
      </c>
      <c r="Q137" s="1982">
        <v>690</v>
      </c>
      <c r="R137" s="1982">
        <f>9200</f>
        <v>9200</v>
      </c>
      <c r="S137" s="1982"/>
      <c r="T137" s="1961">
        <f t="shared" si="105"/>
        <v>19010</v>
      </c>
      <c r="U137" s="1983" t="s">
        <v>610</v>
      </c>
      <c r="V137" s="1984">
        <f t="shared" si="114"/>
        <v>19010</v>
      </c>
      <c r="W137" s="1985">
        <f t="shared" si="107"/>
        <v>17126.126126126124</v>
      </c>
      <c r="X137" s="1984">
        <f t="shared" si="108"/>
        <v>4010</v>
      </c>
      <c r="Y137" s="1985">
        <f t="shared" si="109"/>
        <v>3871.7300847724073</v>
      </c>
      <c r="Z137" s="1986" t="s">
        <v>1013</v>
      </c>
      <c r="AA137" s="1979">
        <v>4</v>
      </c>
      <c r="AB137" s="1978">
        <f>V137/4</f>
        <v>4752.5</v>
      </c>
      <c r="AC137" s="1978">
        <f t="shared" si="110"/>
        <v>4199.4344791022359</v>
      </c>
      <c r="AD137" s="1978">
        <f t="shared" si="85"/>
        <v>19010</v>
      </c>
      <c r="AE137" s="1978">
        <f t="shared" si="111"/>
        <v>16797.737916408943</v>
      </c>
    </row>
    <row r="138" spans="1:31" ht="54.75" customHeight="1" x14ac:dyDescent="0.3">
      <c r="A138" s="224"/>
      <c r="B138" s="1092"/>
      <c r="C138" s="2297" t="s">
        <v>717</v>
      </c>
      <c r="D138" s="2280" t="s">
        <v>715</v>
      </c>
      <c r="E138" s="1974"/>
      <c r="F138" s="1975"/>
      <c r="G138" s="1975"/>
      <c r="H138" s="1976">
        <f t="shared" si="101"/>
        <v>0</v>
      </c>
      <c r="I138" s="2022"/>
      <c r="J138" s="1978"/>
      <c r="K138" s="1979">
        <v>0</v>
      </c>
      <c r="L138" s="1978">
        <f t="shared" si="113"/>
        <v>0</v>
      </c>
      <c r="M138" s="1978">
        <f t="shared" si="102"/>
        <v>0</v>
      </c>
      <c r="N138" s="1978">
        <f t="shared" si="103"/>
        <v>0</v>
      </c>
      <c r="O138" s="1980">
        <f t="shared" si="112"/>
        <v>0</v>
      </c>
      <c r="P138" s="1981"/>
      <c r="Q138" s="1982"/>
      <c r="R138" s="1982"/>
      <c r="S138" s="1982">
        <f>10000</f>
        <v>10000</v>
      </c>
      <c r="T138" s="1961">
        <f t="shared" si="105"/>
        <v>10000</v>
      </c>
      <c r="U138" s="1983" t="s">
        <v>716</v>
      </c>
      <c r="V138" s="1984">
        <f t="shared" si="114"/>
        <v>10000</v>
      </c>
      <c r="W138" s="1985">
        <f t="shared" si="107"/>
        <v>9009.0090090090089</v>
      </c>
      <c r="X138" s="1984">
        <f t="shared" si="108"/>
        <v>10000</v>
      </c>
      <c r="Y138" s="1985">
        <f t="shared" si="109"/>
        <v>9009.0090090090089</v>
      </c>
      <c r="Z138" s="1986" t="s">
        <v>1068</v>
      </c>
      <c r="AA138" s="1979">
        <v>2</v>
      </c>
      <c r="AB138" s="1978">
        <f>V138/2</f>
        <v>5000</v>
      </c>
      <c r="AC138" s="1978">
        <f t="shared" si="110"/>
        <v>4418.1320137845723</v>
      </c>
      <c r="AD138" s="1978">
        <f t="shared" si="85"/>
        <v>10000</v>
      </c>
      <c r="AE138" s="1978">
        <f t="shared" si="111"/>
        <v>8836.2640275691447</v>
      </c>
    </row>
    <row r="139" spans="1:31" ht="55.5" customHeight="1" x14ac:dyDescent="0.3">
      <c r="A139" s="224"/>
      <c r="B139" s="1092"/>
      <c r="C139" s="2297" t="s">
        <v>180</v>
      </c>
      <c r="D139" s="2280" t="s">
        <v>498</v>
      </c>
      <c r="E139" s="1974"/>
      <c r="F139" s="1975"/>
      <c r="G139" s="1975"/>
      <c r="H139" s="1976">
        <f t="shared" si="101"/>
        <v>0</v>
      </c>
      <c r="I139" s="2022"/>
      <c r="J139" s="1978"/>
      <c r="K139" s="1979">
        <v>0</v>
      </c>
      <c r="L139" s="1978">
        <f t="shared" si="113"/>
        <v>0</v>
      </c>
      <c r="M139" s="1978">
        <f t="shared" si="102"/>
        <v>0</v>
      </c>
      <c r="N139" s="1978">
        <f t="shared" si="103"/>
        <v>0</v>
      </c>
      <c r="O139" s="1980">
        <f t="shared" si="112"/>
        <v>0</v>
      </c>
      <c r="P139" s="2025">
        <v>17750</v>
      </c>
      <c r="Q139" s="2026">
        <v>8000</v>
      </c>
      <c r="R139" s="2026"/>
      <c r="S139" s="2026"/>
      <c r="T139" s="1961">
        <f t="shared" si="105"/>
        <v>25750</v>
      </c>
      <c r="U139" s="1983" t="s">
        <v>1069</v>
      </c>
      <c r="V139" s="1984">
        <f t="shared" si="114"/>
        <v>25750</v>
      </c>
      <c r="W139" s="1985">
        <f t="shared" si="107"/>
        <v>23198.198198198195</v>
      </c>
      <c r="X139" s="1984">
        <f t="shared" si="108"/>
        <v>25750</v>
      </c>
      <c r="Y139" s="1985">
        <f t="shared" si="109"/>
        <v>23198.198198198195</v>
      </c>
      <c r="Z139" s="1986" t="s">
        <v>1067</v>
      </c>
      <c r="AA139" s="1979">
        <v>3</v>
      </c>
      <c r="AB139" s="1978">
        <f>V139/3</f>
        <v>8583.3333333333339</v>
      </c>
      <c r="AC139" s="1978">
        <f t="shared" si="110"/>
        <v>7584.4599569968495</v>
      </c>
      <c r="AD139" s="1978">
        <f t="shared" si="85"/>
        <v>25750</v>
      </c>
      <c r="AE139" s="1978">
        <f t="shared" si="111"/>
        <v>22753.379870990546</v>
      </c>
    </row>
    <row r="140" spans="1:31" ht="54.75" customHeight="1" x14ac:dyDescent="0.3">
      <c r="A140" s="224"/>
      <c r="B140" s="1092"/>
      <c r="C140" s="2299" t="s">
        <v>984</v>
      </c>
      <c r="D140" s="2280" t="s">
        <v>679</v>
      </c>
      <c r="E140" s="1974"/>
      <c r="F140" s="1975"/>
      <c r="G140" s="1975"/>
      <c r="H140" s="1976">
        <f t="shared" si="101"/>
        <v>0</v>
      </c>
      <c r="I140" s="2022"/>
      <c r="J140" s="1978"/>
      <c r="K140" s="1979">
        <v>0</v>
      </c>
      <c r="L140" s="1978">
        <f t="shared" si="113"/>
        <v>0</v>
      </c>
      <c r="M140" s="1978">
        <f t="shared" si="102"/>
        <v>0</v>
      </c>
      <c r="N140" s="1978">
        <f t="shared" si="103"/>
        <v>0</v>
      </c>
      <c r="O140" s="1980">
        <f t="shared" si="112"/>
        <v>0</v>
      </c>
      <c r="P140" s="1981"/>
      <c r="Q140" s="1982"/>
      <c r="R140" s="1982"/>
      <c r="S140" s="2026">
        <v>11150</v>
      </c>
      <c r="T140" s="1961">
        <f>SUM(P140:S140)</f>
        <v>11150</v>
      </c>
      <c r="U140" s="1983" t="s">
        <v>777</v>
      </c>
      <c r="V140" s="1984">
        <f t="shared" si="114"/>
        <v>11150</v>
      </c>
      <c r="W140" s="1985">
        <f>V140/1.11</f>
        <v>10045.045045045044</v>
      </c>
      <c r="X140" s="1984">
        <f t="shared" si="108"/>
        <v>11150</v>
      </c>
      <c r="Y140" s="1985">
        <f t="shared" si="109"/>
        <v>10045.045045045044</v>
      </c>
      <c r="Z140" s="1986" t="s">
        <v>993</v>
      </c>
      <c r="AA140" s="1979">
        <v>45</v>
      </c>
      <c r="AB140" s="1978">
        <f>V140/45</f>
        <v>247.77777777777777</v>
      </c>
      <c r="AC140" s="1978">
        <f t="shared" si="110"/>
        <v>218.94298646087989</v>
      </c>
      <c r="AD140" s="1978">
        <f t="shared" si="85"/>
        <v>11150</v>
      </c>
      <c r="AE140" s="1978">
        <f t="shared" si="111"/>
        <v>9852.434390739596</v>
      </c>
    </row>
    <row r="141" spans="1:31" ht="57.75" customHeight="1" x14ac:dyDescent="0.3">
      <c r="A141" s="224"/>
      <c r="B141" s="1092"/>
      <c r="C141" s="2299" t="s">
        <v>499</v>
      </c>
      <c r="D141" s="2280" t="s">
        <v>868</v>
      </c>
      <c r="E141" s="1974">
        <f>39445.91</f>
        <v>39445.910000000003</v>
      </c>
      <c r="F141" s="1975">
        <f>20041.13</f>
        <v>20041.13</v>
      </c>
      <c r="G141" s="1975">
        <f>5613.16</f>
        <v>5613.16</v>
      </c>
      <c r="H141" s="1976">
        <f t="shared" si="101"/>
        <v>65100.200000000012</v>
      </c>
      <c r="I141" s="2022" t="s">
        <v>989</v>
      </c>
      <c r="J141" s="1978" t="s">
        <v>1013</v>
      </c>
      <c r="K141" s="1979">
        <v>3</v>
      </c>
      <c r="L141" s="1978">
        <f>H141/3</f>
        <v>21700.066666666669</v>
      </c>
      <c r="M141" s="1978">
        <f t="shared" si="102"/>
        <v>19174.751848251897</v>
      </c>
      <c r="N141" s="1978">
        <f t="shared" si="103"/>
        <v>65100.200000000012</v>
      </c>
      <c r="O141" s="1980">
        <f t="shared" si="112"/>
        <v>57524.255544755688</v>
      </c>
      <c r="P141" s="1981">
        <v>10850</v>
      </c>
      <c r="Q141" s="1982">
        <v>16590</v>
      </c>
      <c r="R141" s="1982">
        <f>16933+5000</f>
        <v>21933</v>
      </c>
      <c r="S141" s="2026">
        <f>7120</f>
        <v>7120</v>
      </c>
      <c r="T141" s="1961">
        <f>SUM(P141:S141)</f>
        <v>56493</v>
      </c>
      <c r="U141" s="1983" t="s">
        <v>874</v>
      </c>
      <c r="V141" s="1984">
        <f t="shared" si="114"/>
        <v>56493</v>
      </c>
      <c r="W141" s="1985">
        <f>V141/1.11</f>
        <v>50894.594594594593</v>
      </c>
      <c r="X141" s="1984">
        <f t="shared" si="108"/>
        <v>-8607.2000000000116</v>
      </c>
      <c r="Y141" s="1985">
        <f t="shared" si="109"/>
        <v>-6629.6609501610947</v>
      </c>
      <c r="Z141" s="1986" t="s">
        <v>1013</v>
      </c>
      <c r="AA141" s="1979">
        <v>4</v>
      </c>
      <c r="AB141" s="1978">
        <f>V141/4</f>
        <v>14123.25</v>
      </c>
      <c r="AC141" s="1978">
        <f>AB141/1.1317</f>
        <v>12479.676592736592</v>
      </c>
      <c r="AD141" s="1978">
        <f>AA141*AB141</f>
        <v>56493</v>
      </c>
      <c r="AE141" s="1978">
        <f t="shared" si="111"/>
        <v>49918.706370946369</v>
      </c>
    </row>
    <row r="142" spans="1:31" ht="51.75" customHeight="1" x14ac:dyDescent="0.3">
      <c r="A142" s="224"/>
      <c r="B142" s="1092"/>
      <c r="C142" s="2299" t="s">
        <v>500</v>
      </c>
      <c r="D142" s="2280" t="s">
        <v>863</v>
      </c>
      <c r="E142" s="1974"/>
      <c r="F142" s="1975"/>
      <c r="G142" s="1975"/>
      <c r="H142" s="1976"/>
      <c r="I142" s="2022"/>
      <c r="J142" s="1978"/>
      <c r="K142" s="1979"/>
      <c r="L142" s="1978"/>
      <c r="M142" s="1978">
        <f t="shared" si="102"/>
        <v>0</v>
      </c>
      <c r="N142" s="1978">
        <f t="shared" si="103"/>
        <v>0</v>
      </c>
      <c r="O142" s="1980">
        <f t="shared" si="112"/>
        <v>0</v>
      </c>
      <c r="P142" s="1981"/>
      <c r="Q142" s="1982"/>
      <c r="R142" s="1982">
        <f>43211</f>
        <v>43211</v>
      </c>
      <c r="S142" s="2026"/>
      <c r="T142" s="1961">
        <f t="shared" si="105"/>
        <v>43211</v>
      </c>
      <c r="U142" s="1983" t="s">
        <v>1054</v>
      </c>
      <c r="V142" s="1984">
        <f t="shared" si="114"/>
        <v>43211</v>
      </c>
      <c r="W142" s="1985">
        <f t="shared" si="107"/>
        <v>38928.828828828824</v>
      </c>
      <c r="X142" s="1984">
        <f t="shared" si="108"/>
        <v>43211</v>
      </c>
      <c r="Y142" s="1985">
        <f t="shared" si="109"/>
        <v>38928.828828828824</v>
      </c>
      <c r="Z142" s="1986" t="s">
        <v>1070</v>
      </c>
      <c r="AA142" s="1979">
        <v>2</v>
      </c>
      <c r="AB142" s="1978">
        <f>V142/2</f>
        <v>21605.5</v>
      </c>
      <c r="AC142" s="1978">
        <f t="shared" si="110"/>
        <v>19091.190244764515</v>
      </c>
      <c r="AD142" s="1978">
        <f t="shared" si="85"/>
        <v>43211</v>
      </c>
      <c r="AE142" s="1978">
        <f t="shared" si="111"/>
        <v>38182.38048952903</v>
      </c>
    </row>
    <row r="143" spans="1:31" ht="66" customHeight="1" x14ac:dyDescent="0.3">
      <c r="A143" s="224"/>
      <c r="B143" s="1092"/>
      <c r="C143" s="2300" t="s">
        <v>501</v>
      </c>
      <c r="D143" s="2247" t="s">
        <v>982</v>
      </c>
      <c r="E143" s="1974">
        <v>10000</v>
      </c>
      <c r="F143" s="1975"/>
      <c r="G143" s="1975"/>
      <c r="H143" s="1976">
        <f t="shared" ref="H143" si="115">SUM(E143:G143)</f>
        <v>10000</v>
      </c>
      <c r="I143" s="2022" t="s">
        <v>183</v>
      </c>
      <c r="J143" s="1978" t="s">
        <v>1007</v>
      </c>
      <c r="K143" s="1979">
        <v>70</v>
      </c>
      <c r="L143" s="1978">
        <f>H143/70</f>
        <v>142.85714285714286</v>
      </c>
      <c r="M143" s="1978">
        <f t="shared" si="102"/>
        <v>126.23234325098778</v>
      </c>
      <c r="N143" s="1978">
        <f t="shared" si="103"/>
        <v>10000</v>
      </c>
      <c r="O143" s="1980">
        <f t="shared" si="112"/>
        <v>8836.2640275691447</v>
      </c>
      <c r="P143" s="1981"/>
      <c r="Q143" s="1982"/>
      <c r="R143" s="1982">
        <f>700</f>
        <v>700</v>
      </c>
      <c r="S143" s="2026">
        <f>4000</f>
        <v>4000</v>
      </c>
      <c r="T143" s="1961">
        <f t="shared" si="105"/>
        <v>4700</v>
      </c>
      <c r="U143" s="1983" t="s">
        <v>776</v>
      </c>
      <c r="V143" s="1984">
        <f t="shared" si="114"/>
        <v>4700</v>
      </c>
      <c r="W143" s="1985">
        <f t="shared" si="107"/>
        <v>4234.2342342342336</v>
      </c>
      <c r="X143" s="1984">
        <f t="shared" si="108"/>
        <v>-5300</v>
      </c>
      <c r="Y143" s="1985">
        <f t="shared" si="109"/>
        <v>-4602.0297933349111</v>
      </c>
      <c r="Z143" s="1986" t="s">
        <v>1007</v>
      </c>
      <c r="AA143" s="1979">
        <v>50</v>
      </c>
      <c r="AB143" s="1978">
        <f>V143/50</f>
        <v>94</v>
      </c>
      <c r="AC143" s="1978">
        <f t="shared" si="110"/>
        <v>83.060881859149958</v>
      </c>
      <c r="AD143" s="1978">
        <f t="shared" si="85"/>
        <v>4700</v>
      </c>
      <c r="AE143" s="1978">
        <f t="shared" si="111"/>
        <v>4153.0440929574979</v>
      </c>
    </row>
    <row r="144" spans="1:31" ht="54.75" customHeight="1" x14ac:dyDescent="0.3">
      <c r="A144" s="224"/>
      <c r="B144" s="1092"/>
      <c r="C144" s="2300" t="s">
        <v>503</v>
      </c>
      <c r="D144" s="2247" t="s">
        <v>864</v>
      </c>
      <c r="E144" s="1974"/>
      <c r="F144" s="1975"/>
      <c r="G144" s="1975"/>
      <c r="H144" s="1976">
        <f t="shared" si="101"/>
        <v>0</v>
      </c>
      <c r="I144" s="2022"/>
      <c r="J144" s="1978"/>
      <c r="K144" s="1979">
        <v>0</v>
      </c>
      <c r="L144" s="1978">
        <f t="shared" si="113"/>
        <v>0</v>
      </c>
      <c r="M144" s="1978">
        <f t="shared" si="102"/>
        <v>0</v>
      </c>
      <c r="N144" s="1978">
        <f t="shared" si="103"/>
        <v>0</v>
      </c>
      <c r="O144" s="1980">
        <f t="shared" si="112"/>
        <v>0</v>
      </c>
      <c r="P144" s="1981"/>
      <c r="Q144" s="1982"/>
      <c r="R144" s="1982"/>
      <c r="S144" s="2026">
        <v>45000</v>
      </c>
      <c r="T144" s="1961">
        <f t="shared" si="105"/>
        <v>45000</v>
      </c>
      <c r="U144" s="1983" t="s">
        <v>865</v>
      </c>
      <c r="V144" s="1984">
        <f t="shared" si="114"/>
        <v>45000</v>
      </c>
      <c r="W144" s="1985">
        <f t="shared" si="107"/>
        <v>40540.54054054054</v>
      </c>
      <c r="X144" s="1984">
        <f t="shared" si="108"/>
        <v>45000</v>
      </c>
      <c r="Y144" s="1985">
        <f t="shared" si="109"/>
        <v>40540.54054054054</v>
      </c>
      <c r="Z144" s="1986" t="s">
        <v>992</v>
      </c>
      <c r="AA144" s="1979">
        <v>2</v>
      </c>
      <c r="AB144" s="1978">
        <f>V144/2</f>
        <v>22500</v>
      </c>
      <c r="AC144" s="1978">
        <f t="shared" si="110"/>
        <v>19881.594062030574</v>
      </c>
      <c r="AD144" s="1978">
        <f t="shared" si="85"/>
        <v>45000</v>
      </c>
      <c r="AE144" s="1978">
        <f t="shared" si="111"/>
        <v>39763.188124061147</v>
      </c>
    </row>
    <row r="145" spans="1:31" ht="84.75" customHeight="1" x14ac:dyDescent="0.3">
      <c r="A145" s="224"/>
      <c r="B145" s="1092"/>
      <c r="C145" s="2300" t="s">
        <v>552</v>
      </c>
      <c r="D145" s="2247" t="s">
        <v>181</v>
      </c>
      <c r="E145" s="1974">
        <v>24400</v>
      </c>
      <c r="F145" s="1975"/>
      <c r="G145" s="1975"/>
      <c r="H145" s="1976">
        <f t="shared" si="101"/>
        <v>24400</v>
      </c>
      <c r="I145" s="2022" t="s">
        <v>182</v>
      </c>
      <c r="J145" s="1978"/>
      <c r="K145" s="1979">
        <v>300</v>
      </c>
      <c r="L145" s="1978">
        <f>H145/300</f>
        <v>81.333333333333329</v>
      </c>
      <c r="M145" s="1978">
        <f t="shared" si="102"/>
        <v>71.868280757562374</v>
      </c>
      <c r="N145" s="1978">
        <f t="shared" si="103"/>
        <v>24400</v>
      </c>
      <c r="O145" s="1980">
        <f t="shared" si="112"/>
        <v>21560.484227268713</v>
      </c>
      <c r="P145" s="1981"/>
      <c r="Q145" s="1982"/>
      <c r="R145" s="1982"/>
      <c r="S145" s="2026"/>
      <c r="T145" s="1961"/>
      <c r="U145" s="1983"/>
      <c r="V145" s="1984"/>
      <c r="W145" s="1985"/>
      <c r="X145" s="1984">
        <f t="shared" si="108"/>
        <v>-24400</v>
      </c>
      <c r="Y145" s="1985">
        <f t="shared" si="109"/>
        <v>-21560.484227268713</v>
      </c>
      <c r="Z145" s="1986"/>
      <c r="AA145" s="1979"/>
      <c r="AB145" s="1978"/>
      <c r="AC145" s="1978"/>
      <c r="AD145" s="1978"/>
      <c r="AE145" s="1978">
        <f t="shared" si="111"/>
        <v>0</v>
      </c>
    </row>
    <row r="146" spans="1:31" ht="55.5" customHeight="1" x14ac:dyDescent="0.3">
      <c r="A146" s="224"/>
      <c r="B146" s="1092"/>
      <c r="C146" s="2300" t="s">
        <v>504</v>
      </c>
      <c r="D146" s="2247" t="s">
        <v>983</v>
      </c>
      <c r="E146" s="1974"/>
      <c r="F146" s="1975"/>
      <c r="G146" s="1975"/>
      <c r="H146" s="1976">
        <f t="shared" si="101"/>
        <v>0</v>
      </c>
      <c r="I146" s="2022"/>
      <c r="J146" s="1978"/>
      <c r="K146" s="1979">
        <v>0</v>
      </c>
      <c r="L146" s="1978">
        <f t="shared" si="113"/>
        <v>0</v>
      </c>
      <c r="M146" s="1978">
        <f t="shared" si="102"/>
        <v>0</v>
      </c>
      <c r="N146" s="1978">
        <f t="shared" si="103"/>
        <v>0</v>
      </c>
      <c r="O146" s="1980">
        <f t="shared" si="112"/>
        <v>0</v>
      </c>
      <c r="P146" s="1981"/>
      <c r="Q146" s="1982"/>
      <c r="R146" s="1982"/>
      <c r="S146" s="2026">
        <v>5000</v>
      </c>
      <c r="T146" s="1961">
        <f t="shared" si="105"/>
        <v>5000</v>
      </c>
      <c r="U146" s="1983" t="s">
        <v>683</v>
      </c>
      <c r="V146" s="1984">
        <f t="shared" ref="V146:V151" si="116">P146+Q146+R146+S146</f>
        <v>5000</v>
      </c>
      <c r="W146" s="1985">
        <f t="shared" si="107"/>
        <v>4504.5045045045044</v>
      </c>
      <c r="X146" s="1984">
        <f t="shared" si="108"/>
        <v>5000</v>
      </c>
      <c r="Y146" s="1985">
        <f t="shared" si="109"/>
        <v>4504.5045045045044</v>
      </c>
      <c r="Z146" s="1986" t="s">
        <v>1071</v>
      </c>
      <c r="AA146" s="1979">
        <v>1000</v>
      </c>
      <c r="AB146" s="1978">
        <f>V146/1000</f>
        <v>5</v>
      </c>
      <c r="AC146" s="1978">
        <f t="shared" ref="AC146" si="117">AB146/1.1317</f>
        <v>4.4181320137845725</v>
      </c>
      <c r="AD146" s="1978">
        <f t="shared" ref="AD146" si="118">AA146*AB146</f>
        <v>5000</v>
      </c>
      <c r="AE146" s="1978">
        <f t="shared" si="111"/>
        <v>4418.1320137845723</v>
      </c>
    </row>
    <row r="147" spans="1:31" ht="56.25" customHeight="1" x14ac:dyDescent="0.3">
      <c r="A147" s="224"/>
      <c r="B147" s="1092"/>
      <c r="C147" s="2300" t="s">
        <v>505</v>
      </c>
      <c r="D147" s="2247" t="s">
        <v>506</v>
      </c>
      <c r="E147" s="1974"/>
      <c r="F147" s="1975"/>
      <c r="G147" s="1975"/>
      <c r="H147" s="1976">
        <f t="shared" si="101"/>
        <v>0</v>
      </c>
      <c r="I147" s="2022"/>
      <c r="J147" s="1978"/>
      <c r="K147" s="1979">
        <v>0</v>
      </c>
      <c r="L147" s="1978">
        <f t="shared" si="113"/>
        <v>0</v>
      </c>
      <c r="M147" s="1978">
        <f t="shared" si="102"/>
        <v>0</v>
      </c>
      <c r="N147" s="1978">
        <f t="shared" si="103"/>
        <v>0</v>
      </c>
      <c r="O147" s="1980">
        <f t="shared" si="112"/>
        <v>0</v>
      </c>
      <c r="P147" s="1981"/>
      <c r="Q147" s="1982">
        <v>8050</v>
      </c>
      <c r="R147" s="1982">
        <f>4730</f>
        <v>4730</v>
      </c>
      <c r="S147" s="1982">
        <f>6000</f>
        <v>6000</v>
      </c>
      <c r="T147" s="1961">
        <f>SUM(P147:S147)</f>
        <v>18780</v>
      </c>
      <c r="U147" s="1983" t="s">
        <v>1055</v>
      </c>
      <c r="V147" s="1984">
        <f t="shared" si="116"/>
        <v>18780</v>
      </c>
      <c r="W147" s="1985">
        <f>V147/1.11</f>
        <v>16918.918918918916</v>
      </c>
      <c r="X147" s="1984">
        <f t="shared" si="108"/>
        <v>18780</v>
      </c>
      <c r="Y147" s="1985">
        <f t="shared" si="109"/>
        <v>16918.918918918916</v>
      </c>
      <c r="Z147" s="1986" t="s">
        <v>1013</v>
      </c>
      <c r="AA147" s="1979">
        <v>4</v>
      </c>
      <c r="AB147" s="1978">
        <f>V147/4</f>
        <v>4695</v>
      </c>
      <c r="AC147" s="1978">
        <f>AB147/1.1317</f>
        <v>4148.6259609437129</v>
      </c>
      <c r="AD147" s="1978">
        <f>AA147*AB147</f>
        <v>18780</v>
      </c>
      <c r="AE147" s="1978">
        <f t="shared" si="111"/>
        <v>16594.503843774852</v>
      </c>
    </row>
    <row r="148" spans="1:31" ht="40.5" customHeight="1" x14ac:dyDescent="0.3">
      <c r="A148" s="224"/>
      <c r="B148" s="1092"/>
      <c r="C148" s="2301" t="s">
        <v>507</v>
      </c>
      <c r="D148" s="2263" t="s">
        <v>744</v>
      </c>
      <c r="E148" s="1974"/>
      <c r="F148" s="1975"/>
      <c r="G148" s="1975"/>
      <c r="H148" s="1976">
        <f t="shared" si="101"/>
        <v>0</v>
      </c>
      <c r="I148" s="2022"/>
      <c r="J148" s="1978"/>
      <c r="K148" s="1979">
        <v>0</v>
      </c>
      <c r="L148" s="1978">
        <f t="shared" si="113"/>
        <v>0</v>
      </c>
      <c r="M148" s="1978">
        <f t="shared" si="102"/>
        <v>0</v>
      </c>
      <c r="N148" s="1978">
        <f t="shared" si="103"/>
        <v>0</v>
      </c>
      <c r="O148" s="1980">
        <f t="shared" si="112"/>
        <v>0</v>
      </c>
      <c r="P148" s="2025">
        <v>0</v>
      </c>
      <c r="Q148" s="2026">
        <v>6500</v>
      </c>
      <c r="R148" s="2026">
        <v>6500</v>
      </c>
      <c r="S148" s="2026"/>
      <c r="T148" s="1961">
        <f t="shared" si="105"/>
        <v>13000</v>
      </c>
      <c r="U148" s="1983" t="s">
        <v>509</v>
      </c>
      <c r="V148" s="1984">
        <f t="shared" si="116"/>
        <v>13000</v>
      </c>
      <c r="W148" s="1985">
        <f t="shared" si="107"/>
        <v>11711.71171171171</v>
      </c>
      <c r="X148" s="1984">
        <f t="shared" si="108"/>
        <v>13000</v>
      </c>
      <c r="Y148" s="1985">
        <f t="shared" si="109"/>
        <v>11711.71171171171</v>
      </c>
      <c r="Z148" s="1986" t="s">
        <v>1013</v>
      </c>
      <c r="AA148" s="1979">
        <v>3</v>
      </c>
      <c r="AB148" s="1978">
        <f>V148/3</f>
        <v>4333.333333333333</v>
      </c>
      <c r="AC148" s="1978">
        <f t="shared" si="110"/>
        <v>3829.0477452799623</v>
      </c>
      <c r="AD148" s="1978">
        <f t="shared" si="85"/>
        <v>13000</v>
      </c>
      <c r="AE148" s="1978">
        <f t="shared" si="111"/>
        <v>11487.143235839887</v>
      </c>
    </row>
    <row r="149" spans="1:31" ht="41.25" customHeight="1" x14ac:dyDescent="0.3">
      <c r="A149" s="224"/>
      <c r="B149" s="1092"/>
      <c r="C149" s="2297" t="s">
        <v>510</v>
      </c>
      <c r="D149" s="2280" t="s">
        <v>743</v>
      </c>
      <c r="E149" s="1974"/>
      <c r="F149" s="1975"/>
      <c r="G149" s="1975"/>
      <c r="H149" s="1976">
        <f t="shared" si="101"/>
        <v>0</v>
      </c>
      <c r="I149" s="2022"/>
      <c r="J149" s="1978"/>
      <c r="K149" s="1979">
        <v>0</v>
      </c>
      <c r="L149" s="1978">
        <f t="shared" si="113"/>
        <v>0</v>
      </c>
      <c r="M149" s="1978">
        <f t="shared" si="102"/>
        <v>0</v>
      </c>
      <c r="N149" s="1978">
        <f t="shared" si="103"/>
        <v>0</v>
      </c>
      <c r="O149" s="1980">
        <f t="shared" si="112"/>
        <v>0</v>
      </c>
      <c r="P149" s="1981">
        <v>15230</v>
      </c>
      <c r="Q149" s="1982">
        <v>10990</v>
      </c>
      <c r="R149" s="1982">
        <f>4000</f>
        <v>4000</v>
      </c>
      <c r="S149" s="2026">
        <v>2000</v>
      </c>
      <c r="T149" s="1961">
        <f t="shared" si="105"/>
        <v>32220</v>
      </c>
      <c r="U149" s="1983" t="s">
        <v>890</v>
      </c>
      <c r="V149" s="1984">
        <f t="shared" si="116"/>
        <v>32220</v>
      </c>
      <c r="W149" s="1985">
        <f t="shared" si="107"/>
        <v>29027.027027027023</v>
      </c>
      <c r="X149" s="1984">
        <f t="shared" si="108"/>
        <v>32220</v>
      </c>
      <c r="Y149" s="1985">
        <f t="shared" si="109"/>
        <v>29027.027027027023</v>
      </c>
      <c r="Z149" s="1986" t="s">
        <v>1013</v>
      </c>
      <c r="AA149" s="1979">
        <v>4</v>
      </c>
      <c r="AB149" s="1978">
        <f>V149/4</f>
        <v>8055</v>
      </c>
      <c r="AC149" s="1978">
        <f t="shared" si="110"/>
        <v>7117.610674206946</v>
      </c>
      <c r="AD149" s="1978">
        <f t="shared" si="85"/>
        <v>32220</v>
      </c>
      <c r="AE149" s="1978">
        <f t="shared" si="111"/>
        <v>28470.442696827784</v>
      </c>
    </row>
    <row r="150" spans="1:31" ht="42.75" customHeight="1" x14ac:dyDescent="0.3">
      <c r="A150" s="224"/>
      <c r="B150" s="1092"/>
      <c r="C150" s="2299" t="s">
        <v>570</v>
      </c>
      <c r="D150" s="2280" t="s">
        <v>684</v>
      </c>
      <c r="E150" s="1974"/>
      <c r="F150" s="1975"/>
      <c r="G150" s="1975"/>
      <c r="H150" s="1976">
        <f t="shared" si="101"/>
        <v>0</v>
      </c>
      <c r="I150" s="2022"/>
      <c r="J150" s="1978"/>
      <c r="K150" s="1979">
        <v>0</v>
      </c>
      <c r="L150" s="1978">
        <f t="shared" si="113"/>
        <v>0</v>
      </c>
      <c r="M150" s="1978">
        <f t="shared" si="102"/>
        <v>0</v>
      </c>
      <c r="N150" s="1978">
        <f t="shared" si="103"/>
        <v>0</v>
      </c>
      <c r="O150" s="1980">
        <f t="shared" si="112"/>
        <v>0</v>
      </c>
      <c r="P150" s="2025"/>
      <c r="Q150" s="2026"/>
      <c r="R150" s="2026"/>
      <c r="S150" s="2026"/>
      <c r="T150" s="1961">
        <f t="shared" ref="T150" si="119">SUM(P150:S150)</f>
        <v>0</v>
      </c>
      <c r="U150" s="1983"/>
      <c r="V150" s="1984">
        <f t="shared" si="116"/>
        <v>0</v>
      </c>
      <c r="W150" s="1985">
        <f t="shared" si="107"/>
        <v>0</v>
      </c>
      <c r="X150" s="1984">
        <f t="shared" si="108"/>
        <v>0</v>
      </c>
      <c r="Y150" s="1985">
        <f t="shared" si="109"/>
        <v>0</v>
      </c>
      <c r="Z150" s="1986"/>
      <c r="AA150" s="1979"/>
      <c r="AB150" s="1978"/>
      <c r="AC150" s="1978"/>
      <c r="AD150" s="1978"/>
      <c r="AE150" s="1978">
        <f t="shared" si="111"/>
        <v>0</v>
      </c>
    </row>
    <row r="151" spans="1:31" ht="48" customHeight="1" x14ac:dyDescent="0.3">
      <c r="A151" s="224"/>
      <c r="B151" s="1092"/>
      <c r="C151" s="2297" t="s">
        <v>511</v>
      </c>
      <c r="D151" s="2280" t="s">
        <v>742</v>
      </c>
      <c r="E151" s="1974"/>
      <c r="F151" s="1975"/>
      <c r="G151" s="1975"/>
      <c r="H151" s="1976">
        <f t="shared" si="101"/>
        <v>0</v>
      </c>
      <c r="I151" s="2022"/>
      <c r="J151" s="1978"/>
      <c r="K151" s="1979">
        <v>0</v>
      </c>
      <c r="L151" s="1978">
        <f t="shared" si="113"/>
        <v>0</v>
      </c>
      <c r="M151" s="1978">
        <f t="shared" si="102"/>
        <v>0</v>
      </c>
      <c r="N151" s="1978">
        <f t="shared" si="103"/>
        <v>0</v>
      </c>
      <c r="O151" s="1980">
        <f t="shared" si="112"/>
        <v>0</v>
      </c>
      <c r="P151" s="1981"/>
      <c r="Q151" s="1982">
        <v>11260</v>
      </c>
      <c r="R151" s="1982">
        <v>20000</v>
      </c>
      <c r="S151" s="2026">
        <f>30000</f>
        <v>30000</v>
      </c>
      <c r="T151" s="1961">
        <f t="shared" si="105"/>
        <v>61260</v>
      </c>
      <c r="U151" s="1983" t="s">
        <v>897</v>
      </c>
      <c r="V151" s="1984">
        <f t="shared" si="116"/>
        <v>61260</v>
      </c>
      <c r="W151" s="1985">
        <f t="shared" si="107"/>
        <v>55189.189189189186</v>
      </c>
      <c r="X151" s="1984">
        <f t="shared" si="108"/>
        <v>61260</v>
      </c>
      <c r="Y151" s="1985">
        <f t="shared" si="109"/>
        <v>55189.189189189186</v>
      </c>
      <c r="Z151" s="1986" t="s">
        <v>1011</v>
      </c>
      <c r="AA151" s="1979">
        <v>24</v>
      </c>
      <c r="AB151" s="1978">
        <f>V151/24</f>
        <v>2552.5</v>
      </c>
      <c r="AC151" s="1978">
        <f t="shared" si="110"/>
        <v>2255.4563930370241</v>
      </c>
      <c r="AD151" s="1978">
        <f t="shared" si="85"/>
        <v>61260</v>
      </c>
      <c r="AE151" s="1978">
        <f t="shared" si="111"/>
        <v>54130.953432888578</v>
      </c>
    </row>
    <row r="152" spans="1:31" ht="33" customHeight="1" thickBot="1" x14ac:dyDescent="0.35">
      <c r="A152" s="224"/>
      <c r="B152" s="1303"/>
      <c r="C152" s="2302"/>
      <c r="D152" s="2293"/>
      <c r="E152" s="1987"/>
      <c r="F152" s="1988"/>
      <c r="G152" s="1988"/>
      <c r="H152" s="1989"/>
      <c r="I152" s="2022"/>
      <c r="J152" s="1990"/>
      <c r="K152" s="1991"/>
      <c r="L152" s="1990"/>
      <c r="M152" s="1990"/>
      <c r="N152" s="1990"/>
      <c r="O152" s="1992"/>
      <c r="P152" s="2029"/>
      <c r="Q152" s="2030"/>
      <c r="R152" s="2030"/>
      <c r="S152" s="2030"/>
      <c r="T152" s="2030"/>
      <c r="U152" s="2031"/>
      <c r="V152" s="1996"/>
      <c r="W152" s="1997"/>
      <c r="X152" s="1996"/>
      <c r="Y152" s="1997"/>
      <c r="Z152" s="1998"/>
      <c r="AA152" s="1991"/>
      <c r="AB152" s="1990"/>
      <c r="AC152" s="1990"/>
      <c r="AD152" s="1990"/>
      <c r="AE152" s="1990"/>
    </row>
    <row r="153" spans="1:31" ht="32.25" customHeight="1" thickBot="1" x14ac:dyDescent="0.35">
      <c r="A153" s="1751"/>
      <c r="B153" s="2032" t="s">
        <v>45</v>
      </c>
      <c r="C153" s="2034"/>
      <c r="D153" s="2257"/>
      <c r="E153" s="2035">
        <f>SUM(E127:E151)</f>
        <v>380630.91000000003</v>
      </c>
      <c r="F153" s="2033">
        <f t="shared" ref="F153:H153" si="120">SUM(F127:F151)</f>
        <v>224106.13</v>
      </c>
      <c r="G153" s="2033">
        <f t="shared" si="120"/>
        <v>171173.16</v>
      </c>
      <c r="H153" s="2036">
        <f t="shared" si="120"/>
        <v>775910.2</v>
      </c>
      <c r="I153" s="2037"/>
      <c r="J153" s="2037"/>
      <c r="K153" s="2038"/>
      <c r="L153" s="2037"/>
      <c r="M153" s="2037"/>
      <c r="N153" s="2037">
        <f t="shared" ref="N153:T153" si="121">SUM(N127:N152)</f>
        <v>775910.2</v>
      </c>
      <c r="O153" s="2039">
        <f>SUM(O127:O152)+0.26</f>
        <v>685614.99888839794</v>
      </c>
      <c r="P153" s="2040">
        <f t="shared" si="121"/>
        <v>171394</v>
      </c>
      <c r="Q153" s="2041">
        <f t="shared" si="121"/>
        <v>282803.67</v>
      </c>
      <c r="R153" s="2041">
        <f t="shared" si="121"/>
        <v>260702</v>
      </c>
      <c r="S153" s="2041">
        <f t="shared" si="121"/>
        <v>263327</v>
      </c>
      <c r="T153" s="2041">
        <f t="shared" si="121"/>
        <v>978226.67</v>
      </c>
      <c r="U153" s="2042"/>
      <c r="V153" s="2040">
        <f>SUM(V127:V152)</f>
        <v>978226.67</v>
      </c>
      <c r="W153" s="2042">
        <f>SUM(W127:W152)</f>
        <v>881285.2882882884</v>
      </c>
      <c r="X153" s="2040">
        <f>SUM(X127:X152)</f>
        <v>202316.46999999997</v>
      </c>
      <c r="Y153" s="2042">
        <f>SUM(Y127:Y152)</f>
        <v>195670.54939989024</v>
      </c>
      <c r="Z153" s="2043"/>
      <c r="AA153" s="2038"/>
      <c r="AB153" s="2037"/>
      <c r="AC153" s="2037"/>
      <c r="AD153" s="2037">
        <f>SUM(AD127:AD152)</f>
        <v>978226.67</v>
      </c>
      <c r="AE153" s="2037">
        <f>SUM(AE127:AE152)</f>
        <v>864386.91349297517</v>
      </c>
    </row>
    <row r="154" spans="1:31" ht="20.25" x14ac:dyDescent="0.3">
      <c r="A154" s="224"/>
      <c r="B154" s="1337"/>
      <c r="C154" s="1004"/>
      <c r="D154" s="1119"/>
      <c r="E154" s="2044"/>
      <c r="F154" s="2045"/>
      <c r="G154" s="2045"/>
      <c r="H154" s="2046"/>
      <c r="I154" s="2054"/>
      <c r="J154" s="2047"/>
      <c r="K154" s="2048"/>
      <c r="L154" s="2047"/>
      <c r="M154" s="2047"/>
      <c r="N154" s="2047"/>
      <c r="O154" s="2049"/>
      <c r="P154" s="2050"/>
      <c r="Q154" s="2051"/>
      <c r="R154" s="2051"/>
      <c r="S154" s="2051"/>
      <c r="T154" s="2051"/>
      <c r="U154" s="2052"/>
      <c r="V154" s="1413"/>
      <c r="W154" s="2053"/>
      <c r="X154" s="1413"/>
      <c r="Y154" s="2052"/>
      <c r="Z154" s="1760"/>
      <c r="AA154" s="2048"/>
      <c r="AB154" s="2047"/>
      <c r="AC154" s="2047"/>
      <c r="AD154" s="2047"/>
      <c r="AE154" s="2047"/>
    </row>
    <row r="155" spans="1:31" ht="91.5" customHeight="1" x14ac:dyDescent="0.3">
      <c r="A155" s="288" t="s">
        <v>184</v>
      </c>
      <c r="B155" s="2710" t="s">
        <v>185</v>
      </c>
      <c r="C155" s="2711"/>
      <c r="D155" s="2711"/>
      <c r="E155" s="1962"/>
      <c r="F155" s="1963"/>
      <c r="G155" s="1963"/>
      <c r="H155" s="1964"/>
      <c r="I155" s="2054"/>
      <c r="J155" s="2054"/>
      <c r="K155" s="2055"/>
      <c r="L155" s="2054"/>
      <c r="M155" s="2054"/>
      <c r="N155" s="2054"/>
      <c r="O155" s="1478"/>
      <c r="P155" s="1512"/>
      <c r="Q155" s="831"/>
      <c r="R155" s="831"/>
      <c r="S155" s="831"/>
      <c r="T155" s="831"/>
      <c r="U155" s="832"/>
      <c r="V155" s="1827"/>
      <c r="W155" s="879"/>
      <c r="X155" s="1827"/>
      <c r="Y155" s="832"/>
      <c r="Z155" s="1396"/>
      <c r="AA155" s="2055"/>
      <c r="AB155" s="2054"/>
      <c r="AC155" s="2054"/>
      <c r="AD155" s="2054"/>
      <c r="AE155" s="2054"/>
    </row>
    <row r="156" spans="1:31" ht="72.75" customHeight="1" x14ac:dyDescent="0.3">
      <c r="A156" s="224"/>
      <c r="B156" s="2056"/>
      <c r="C156" s="2303" t="s">
        <v>186</v>
      </c>
      <c r="D156" s="2310" t="s">
        <v>187</v>
      </c>
      <c r="E156" s="1974">
        <f>26195</f>
        <v>26195</v>
      </c>
      <c r="F156" s="1975">
        <v>21025</v>
      </c>
      <c r="G156" s="1975"/>
      <c r="H156" s="1976">
        <f t="shared" ref="H156:H206" si="122">SUM(E156:G156)</f>
        <v>47220</v>
      </c>
      <c r="I156" s="2022" t="s">
        <v>188</v>
      </c>
      <c r="J156" s="1978" t="s">
        <v>993</v>
      </c>
      <c r="K156" s="1979">
        <v>40</v>
      </c>
      <c r="L156" s="1978">
        <f>H156/40</f>
        <v>1180.5</v>
      </c>
      <c r="M156" s="1978">
        <f t="shared" ref="M156:M206" si="123">L156/1.1317</f>
        <v>1043.1209684545374</v>
      </c>
      <c r="N156" s="1978">
        <f t="shared" ref="N156:N206" si="124">K156*L156</f>
        <v>47220</v>
      </c>
      <c r="O156" s="1980">
        <f t="shared" ref="O156:O206" si="125">N156/1.1317</f>
        <v>41724.838738181497</v>
      </c>
      <c r="P156" s="1981"/>
      <c r="Q156" s="1982">
        <f>24600</f>
        <v>24600</v>
      </c>
      <c r="R156" s="1982">
        <f>20100</f>
        <v>20100</v>
      </c>
      <c r="S156" s="1982">
        <v>19263.7</v>
      </c>
      <c r="T156" s="1961">
        <f t="shared" ref="T156:T206" si="126">SUM(P156:S156)</f>
        <v>63963.7</v>
      </c>
      <c r="U156" s="1983" t="s">
        <v>1060</v>
      </c>
      <c r="V156" s="1984">
        <f>P156+Q156+R156+S156</f>
        <v>63963.7</v>
      </c>
      <c r="W156" s="1985">
        <f t="shared" ref="W156:W206" si="127">V156/1.11</f>
        <v>57624.954954954948</v>
      </c>
      <c r="X156" s="1984">
        <f t="shared" ref="X156:X187" si="128">V156-N156</f>
        <v>16743.699999999997</v>
      </c>
      <c r="Y156" s="1985">
        <f t="shared" ref="Y156:Y187" si="129">W156-O156</f>
        <v>15900.116216773451</v>
      </c>
      <c r="Z156" s="1986" t="s">
        <v>993</v>
      </c>
      <c r="AA156" s="1979">
        <v>45</v>
      </c>
      <c r="AB156" s="1978">
        <f>V156/45</f>
        <v>1421.4155555555556</v>
      </c>
      <c r="AC156" s="1978">
        <f t="shared" ref="AC156:AC206" si="130">AB156/1.1317</f>
        <v>1256.0003141782765</v>
      </c>
      <c r="AD156" s="1978">
        <f t="shared" ref="AD156:AD206" si="131">AA156*AB156</f>
        <v>63963.7</v>
      </c>
      <c r="AE156" s="1978">
        <f t="shared" ref="AE156:AE206" si="132">AD156/1.1317</f>
        <v>56520.014138022445</v>
      </c>
    </row>
    <row r="157" spans="1:31" ht="51" customHeight="1" x14ac:dyDescent="0.3">
      <c r="A157" s="224"/>
      <c r="B157" s="1106"/>
      <c r="C157" s="2241" t="s">
        <v>186</v>
      </c>
      <c r="D157" s="2247" t="s">
        <v>685</v>
      </c>
      <c r="E157" s="1974"/>
      <c r="F157" s="1975"/>
      <c r="G157" s="1975"/>
      <c r="H157" s="1976">
        <f t="shared" si="122"/>
        <v>0</v>
      </c>
      <c r="I157" s="2022"/>
      <c r="J157" s="1978"/>
      <c r="K157" s="1979">
        <v>0</v>
      </c>
      <c r="L157" s="1978">
        <f t="shared" ref="L157:L206" si="133">H157/5</f>
        <v>0</v>
      </c>
      <c r="M157" s="1978">
        <f t="shared" si="123"/>
        <v>0</v>
      </c>
      <c r="N157" s="1978">
        <f t="shared" si="124"/>
        <v>0</v>
      </c>
      <c r="O157" s="1980">
        <f t="shared" si="125"/>
        <v>0</v>
      </c>
      <c r="P157" s="1981"/>
      <c r="Q157" s="1982"/>
      <c r="R157" s="1982"/>
      <c r="S157" s="1982">
        <v>4725</v>
      </c>
      <c r="T157" s="1982">
        <f>SUM(P157:S157)</f>
        <v>4725</v>
      </c>
      <c r="U157" s="1983" t="s">
        <v>875</v>
      </c>
      <c r="V157" s="1984">
        <f>P157+Q157+R157+S157</f>
        <v>4725</v>
      </c>
      <c r="W157" s="1985">
        <f t="shared" si="127"/>
        <v>4256.7567567567567</v>
      </c>
      <c r="X157" s="1984">
        <f t="shared" si="128"/>
        <v>4725</v>
      </c>
      <c r="Y157" s="1985">
        <f t="shared" si="129"/>
        <v>4256.7567567567567</v>
      </c>
      <c r="Z157" s="1986" t="s">
        <v>993</v>
      </c>
      <c r="AA157" s="1979">
        <v>50</v>
      </c>
      <c r="AB157" s="1978">
        <f>V157/50</f>
        <v>94.5</v>
      </c>
      <c r="AC157" s="1978">
        <f t="shared" si="130"/>
        <v>83.50269506052841</v>
      </c>
      <c r="AD157" s="1978">
        <f t="shared" si="131"/>
        <v>4725</v>
      </c>
      <c r="AE157" s="1978">
        <f t="shared" si="132"/>
        <v>4175.1347530264211</v>
      </c>
    </row>
    <row r="158" spans="1:31" ht="73.5" customHeight="1" x14ac:dyDescent="0.3">
      <c r="A158" s="224"/>
      <c r="B158" s="1106"/>
      <c r="C158" s="2259" t="s">
        <v>189</v>
      </c>
      <c r="D158" s="2263" t="s">
        <v>190</v>
      </c>
      <c r="E158" s="1974">
        <f>6000</f>
        <v>6000</v>
      </c>
      <c r="F158" s="1975"/>
      <c r="G158" s="1975"/>
      <c r="H158" s="1976">
        <f t="shared" si="122"/>
        <v>6000</v>
      </c>
      <c r="I158" s="2022" t="s">
        <v>191</v>
      </c>
      <c r="J158" s="1978" t="s">
        <v>1001</v>
      </c>
      <c r="K158" s="1979">
        <v>15</v>
      </c>
      <c r="L158" s="1978">
        <f>H158/15</f>
        <v>400</v>
      </c>
      <c r="M158" s="1978">
        <f t="shared" si="123"/>
        <v>353.45056110276579</v>
      </c>
      <c r="N158" s="1978">
        <f t="shared" si="124"/>
        <v>6000</v>
      </c>
      <c r="O158" s="1980">
        <f t="shared" si="125"/>
        <v>5301.7584165414864</v>
      </c>
      <c r="P158" s="1981">
        <v>1900</v>
      </c>
      <c r="Q158" s="1982">
        <v>7200</v>
      </c>
      <c r="R158" s="1982">
        <f>5453.13+854</f>
        <v>6307.13</v>
      </c>
      <c r="S158" s="1982"/>
      <c r="T158" s="1961">
        <f t="shared" si="126"/>
        <v>15407.130000000001</v>
      </c>
      <c r="U158" s="1983" t="s">
        <v>1058</v>
      </c>
      <c r="V158" s="1984">
        <f>P158+Q158+R158+S158</f>
        <v>15407.130000000001</v>
      </c>
      <c r="W158" s="1985">
        <f t="shared" si="127"/>
        <v>13880.297297297297</v>
      </c>
      <c r="X158" s="1984">
        <f t="shared" si="128"/>
        <v>9407.130000000001</v>
      </c>
      <c r="Y158" s="1985">
        <f t="shared" si="129"/>
        <v>8578.5388807558102</v>
      </c>
      <c r="Z158" s="1986" t="s">
        <v>1001</v>
      </c>
      <c r="AA158" s="1979">
        <v>15</v>
      </c>
      <c r="AB158" s="1978">
        <f>V158/15</f>
        <v>1027.1420000000001</v>
      </c>
      <c r="AC158" s="1978">
        <f t="shared" si="130"/>
        <v>907.60979058054261</v>
      </c>
      <c r="AD158" s="1978">
        <f t="shared" si="131"/>
        <v>15407.130000000001</v>
      </c>
      <c r="AE158" s="1978">
        <f t="shared" si="132"/>
        <v>13614.14685870814</v>
      </c>
    </row>
    <row r="159" spans="1:31" ht="66.75" customHeight="1" x14ac:dyDescent="0.3">
      <c r="A159" s="224"/>
      <c r="B159" s="1106"/>
      <c r="C159" s="2259" t="s">
        <v>553</v>
      </c>
      <c r="D159" s="2263" t="s">
        <v>192</v>
      </c>
      <c r="E159" s="1974">
        <f>6400</f>
        <v>6400</v>
      </c>
      <c r="F159" s="1975"/>
      <c r="G159" s="1975"/>
      <c r="H159" s="1976">
        <f t="shared" si="122"/>
        <v>6400</v>
      </c>
      <c r="I159" s="2022" t="s">
        <v>193</v>
      </c>
      <c r="J159" s="1978" t="s">
        <v>1014</v>
      </c>
      <c r="K159" s="1979">
        <v>800</v>
      </c>
      <c r="L159" s="1978">
        <f>H159/800</f>
        <v>8</v>
      </c>
      <c r="M159" s="1978">
        <f t="shared" si="123"/>
        <v>7.0690112220553152</v>
      </c>
      <c r="N159" s="1978">
        <f t="shared" si="124"/>
        <v>6400</v>
      </c>
      <c r="O159" s="1980">
        <f t="shared" si="125"/>
        <v>5655.2089776442526</v>
      </c>
      <c r="P159" s="1981"/>
      <c r="Q159" s="1982"/>
      <c r="R159" s="1982"/>
      <c r="S159" s="1982"/>
      <c r="T159" s="1961"/>
      <c r="U159" s="1983"/>
      <c r="V159" s="1984"/>
      <c r="W159" s="1985"/>
      <c r="X159" s="1984">
        <f t="shared" si="128"/>
        <v>-6400</v>
      </c>
      <c r="Y159" s="1985">
        <f t="shared" si="129"/>
        <v>-5655.2089776442526</v>
      </c>
      <c r="Z159" s="1986" t="s">
        <v>1014</v>
      </c>
      <c r="AA159" s="1979"/>
      <c r="AB159" s="1978"/>
      <c r="AC159" s="1978"/>
      <c r="AD159" s="1978"/>
      <c r="AE159" s="1978">
        <f t="shared" si="132"/>
        <v>0</v>
      </c>
    </row>
    <row r="160" spans="1:31" ht="112.5" customHeight="1" x14ac:dyDescent="0.3">
      <c r="A160" s="224"/>
      <c r="B160" s="1092"/>
      <c r="C160" s="2259" t="s">
        <v>194</v>
      </c>
      <c r="D160" s="2263" t="s">
        <v>554</v>
      </c>
      <c r="E160" s="1974">
        <f>10250</f>
        <v>10250</v>
      </c>
      <c r="F160" s="1975">
        <f>10250</f>
        <v>10250</v>
      </c>
      <c r="G160" s="1975"/>
      <c r="H160" s="1976">
        <f t="shared" si="122"/>
        <v>20500</v>
      </c>
      <c r="I160" s="2022" t="s">
        <v>195</v>
      </c>
      <c r="J160" s="1978" t="s">
        <v>1015</v>
      </c>
      <c r="K160" s="1979">
        <v>10</v>
      </c>
      <c r="L160" s="1978">
        <f>H160/10</f>
        <v>2050</v>
      </c>
      <c r="M160" s="1978">
        <f t="shared" si="123"/>
        <v>1811.4341256516745</v>
      </c>
      <c r="N160" s="1978">
        <f t="shared" si="124"/>
        <v>20500</v>
      </c>
      <c r="O160" s="1980">
        <f t="shared" si="125"/>
        <v>18114.341256516745</v>
      </c>
      <c r="P160" s="1981">
        <f>14700</f>
        <v>14700</v>
      </c>
      <c r="Q160" s="1982"/>
      <c r="R160" s="1982"/>
      <c r="S160" s="1982"/>
      <c r="T160" s="1961">
        <f t="shared" si="126"/>
        <v>14700</v>
      </c>
      <c r="U160" s="1983" t="s">
        <v>612</v>
      </c>
      <c r="V160" s="1984">
        <f t="shared" ref="V160:V165" si="134">P160+Q160+R160+S160</f>
        <v>14700</v>
      </c>
      <c r="W160" s="1985">
        <f t="shared" si="127"/>
        <v>13243.243243243242</v>
      </c>
      <c r="X160" s="1984">
        <f t="shared" si="128"/>
        <v>-5800</v>
      </c>
      <c r="Y160" s="1985">
        <f t="shared" si="129"/>
        <v>-4871.098013273504</v>
      </c>
      <c r="Z160" s="1986" t="s">
        <v>1015</v>
      </c>
      <c r="AA160" s="1979">
        <v>10</v>
      </c>
      <c r="AB160" s="1978">
        <f>V160/10</f>
        <v>1470</v>
      </c>
      <c r="AC160" s="1978">
        <f t="shared" si="130"/>
        <v>1298.9308120526641</v>
      </c>
      <c r="AD160" s="1978">
        <f t="shared" si="131"/>
        <v>14700</v>
      </c>
      <c r="AE160" s="1978">
        <f t="shared" si="132"/>
        <v>12989.308120526643</v>
      </c>
    </row>
    <row r="161" spans="1:31" ht="89.25" customHeight="1" x14ac:dyDescent="0.3">
      <c r="A161" s="224"/>
      <c r="B161" s="1092"/>
      <c r="C161" s="2304" t="s">
        <v>555</v>
      </c>
      <c r="D161" s="2247" t="s">
        <v>513</v>
      </c>
      <c r="E161" s="1974"/>
      <c r="F161" s="1975">
        <f>27000</f>
        <v>27000</v>
      </c>
      <c r="G161" s="1975"/>
      <c r="H161" s="1976">
        <f t="shared" si="122"/>
        <v>27000</v>
      </c>
      <c r="I161" s="2022" t="s">
        <v>196</v>
      </c>
      <c r="J161" s="1978" t="s">
        <v>1016</v>
      </c>
      <c r="K161" s="1979">
        <v>3</v>
      </c>
      <c r="L161" s="1978">
        <f>H161/3</f>
        <v>9000</v>
      </c>
      <c r="M161" s="1978">
        <f t="shared" si="123"/>
        <v>7952.6376248122297</v>
      </c>
      <c r="N161" s="1978">
        <f t="shared" si="124"/>
        <v>27000</v>
      </c>
      <c r="O161" s="1980">
        <f t="shared" si="125"/>
        <v>23857.91287443669</v>
      </c>
      <c r="P161" s="2057">
        <v>1700</v>
      </c>
      <c r="Q161" s="2058"/>
      <c r="R161" s="2058"/>
      <c r="S161" s="1982"/>
      <c r="T161" s="1961">
        <f t="shared" si="126"/>
        <v>1700</v>
      </c>
      <c r="U161" s="1983" t="s">
        <v>613</v>
      </c>
      <c r="V161" s="1984">
        <f t="shared" si="134"/>
        <v>1700</v>
      </c>
      <c r="W161" s="1985">
        <f t="shared" si="127"/>
        <v>1531.5315315315313</v>
      </c>
      <c r="X161" s="1984">
        <f t="shared" si="128"/>
        <v>-25300</v>
      </c>
      <c r="Y161" s="1985">
        <f t="shared" si="129"/>
        <v>-22326.381342905159</v>
      </c>
      <c r="Z161" s="1986" t="s">
        <v>1072</v>
      </c>
      <c r="AA161" s="1979">
        <v>200</v>
      </c>
      <c r="AB161" s="1978">
        <f>V161/200</f>
        <v>8.5</v>
      </c>
      <c r="AC161" s="1978">
        <f t="shared" si="130"/>
        <v>7.5108244234337729</v>
      </c>
      <c r="AD161" s="1978">
        <f t="shared" si="131"/>
        <v>1700</v>
      </c>
      <c r="AE161" s="1978">
        <f t="shared" si="132"/>
        <v>1502.1648846867545</v>
      </c>
    </row>
    <row r="162" spans="1:31" ht="44.25" customHeight="1" x14ac:dyDescent="0.3">
      <c r="A162" s="224"/>
      <c r="B162" s="1092"/>
      <c r="C162" s="2297" t="s">
        <v>197</v>
      </c>
      <c r="D162" s="2280" t="s">
        <v>556</v>
      </c>
      <c r="E162" s="1974">
        <f>20800</f>
        <v>20800</v>
      </c>
      <c r="F162" s="1975"/>
      <c r="G162" s="1975"/>
      <c r="H162" s="1976">
        <f t="shared" si="122"/>
        <v>20800</v>
      </c>
      <c r="I162" s="2023" t="s">
        <v>198</v>
      </c>
      <c r="J162" s="1978" t="s">
        <v>1017</v>
      </c>
      <c r="K162" s="1979">
        <v>26</v>
      </c>
      <c r="L162" s="1978">
        <f>H162/26</f>
        <v>800</v>
      </c>
      <c r="M162" s="1978">
        <f t="shared" si="123"/>
        <v>706.90112220553158</v>
      </c>
      <c r="N162" s="1978">
        <f t="shared" si="124"/>
        <v>20800</v>
      </c>
      <c r="O162" s="1980">
        <f t="shared" si="125"/>
        <v>18379.42917734382</v>
      </c>
      <c r="P162" s="1981"/>
      <c r="Q162" s="1982">
        <f>26*858.7</f>
        <v>22326.2</v>
      </c>
      <c r="R162" s="1982"/>
      <c r="S162" s="1982"/>
      <c r="T162" s="1961">
        <f t="shared" si="126"/>
        <v>22326.2</v>
      </c>
      <c r="U162" s="1983" t="s">
        <v>1080</v>
      </c>
      <c r="V162" s="1984">
        <f t="shared" si="134"/>
        <v>22326.2</v>
      </c>
      <c r="W162" s="1985">
        <f t="shared" si="127"/>
        <v>20113.693693693691</v>
      </c>
      <c r="X162" s="1984">
        <f t="shared" si="128"/>
        <v>1526.2000000000007</v>
      </c>
      <c r="Y162" s="1985">
        <f t="shared" si="129"/>
        <v>1734.264516349871</v>
      </c>
      <c r="Z162" s="1986" t="s">
        <v>1073</v>
      </c>
      <c r="AA162" s="1979">
        <v>26</v>
      </c>
      <c r="AB162" s="1978">
        <f>V162/26</f>
        <v>858.7</v>
      </c>
      <c r="AC162" s="1978">
        <f t="shared" si="130"/>
        <v>758.76999204736251</v>
      </c>
      <c r="AD162" s="1978">
        <f t="shared" si="131"/>
        <v>22326.2</v>
      </c>
      <c r="AE162" s="1978">
        <f t="shared" si="132"/>
        <v>19728.019793231422</v>
      </c>
    </row>
    <row r="163" spans="1:31" ht="48.75" customHeight="1" x14ac:dyDescent="0.3">
      <c r="A163" s="224"/>
      <c r="B163" s="1107"/>
      <c r="C163" s="2305" t="s">
        <v>514</v>
      </c>
      <c r="D163" s="2293" t="s">
        <v>557</v>
      </c>
      <c r="E163" s="1974">
        <v>15000</v>
      </c>
      <c r="F163" s="1975"/>
      <c r="G163" s="1975"/>
      <c r="H163" s="1976">
        <f t="shared" si="122"/>
        <v>15000</v>
      </c>
      <c r="I163" s="2023" t="s">
        <v>199</v>
      </c>
      <c r="J163" s="1978" t="s">
        <v>1017</v>
      </c>
      <c r="K163" s="1979">
        <v>6</v>
      </c>
      <c r="L163" s="1978">
        <f>H163/6</f>
        <v>2500</v>
      </c>
      <c r="M163" s="1978">
        <f t="shared" si="123"/>
        <v>2209.0660068922862</v>
      </c>
      <c r="N163" s="1978">
        <f t="shared" si="124"/>
        <v>15000</v>
      </c>
      <c r="O163" s="1980">
        <f t="shared" si="125"/>
        <v>13254.396041353717</v>
      </c>
      <c r="P163" s="1981"/>
      <c r="Q163" s="1982">
        <v>2220</v>
      </c>
      <c r="R163" s="1982"/>
      <c r="S163" s="1982"/>
      <c r="T163" s="1961">
        <f t="shared" si="126"/>
        <v>2220</v>
      </c>
      <c r="U163" s="1983" t="s">
        <v>558</v>
      </c>
      <c r="V163" s="1984">
        <f t="shared" si="134"/>
        <v>2220</v>
      </c>
      <c r="W163" s="1985">
        <f t="shared" si="127"/>
        <v>1999.9999999999998</v>
      </c>
      <c r="X163" s="1984">
        <f t="shared" si="128"/>
        <v>-12780</v>
      </c>
      <c r="Y163" s="1985">
        <f t="shared" si="129"/>
        <v>-11254.396041353717</v>
      </c>
      <c r="Z163" s="1986" t="s">
        <v>1073</v>
      </c>
      <c r="AA163" s="1979">
        <v>6</v>
      </c>
      <c r="AB163" s="1978">
        <f>V163/6</f>
        <v>370</v>
      </c>
      <c r="AC163" s="1978">
        <f t="shared" si="130"/>
        <v>326.94176902005836</v>
      </c>
      <c r="AD163" s="1978">
        <f t="shared" si="131"/>
        <v>2220</v>
      </c>
      <c r="AE163" s="1978">
        <f t="shared" si="132"/>
        <v>1961.6506141203499</v>
      </c>
    </row>
    <row r="164" spans="1:31" ht="48.75" customHeight="1" x14ac:dyDescent="0.3">
      <c r="A164" s="224"/>
      <c r="B164" s="1107"/>
      <c r="C164" s="2305" t="s">
        <v>515</v>
      </c>
      <c r="D164" s="2293" t="s">
        <v>516</v>
      </c>
      <c r="E164" s="1974"/>
      <c r="F164" s="1975"/>
      <c r="G164" s="1975"/>
      <c r="H164" s="1976">
        <f t="shared" si="122"/>
        <v>0</v>
      </c>
      <c r="I164" s="2022"/>
      <c r="J164" s="1978"/>
      <c r="K164" s="1979">
        <v>0</v>
      </c>
      <c r="L164" s="1978">
        <f t="shared" si="133"/>
        <v>0</v>
      </c>
      <c r="M164" s="1978">
        <f t="shared" si="123"/>
        <v>0</v>
      </c>
      <c r="N164" s="1978">
        <f t="shared" si="124"/>
        <v>0</v>
      </c>
      <c r="O164" s="1980">
        <f t="shared" si="125"/>
        <v>0</v>
      </c>
      <c r="P164" s="1981"/>
      <c r="Q164" s="1982">
        <v>5100</v>
      </c>
      <c r="R164" s="1982"/>
      <c r="S164" s="1982"/>
      <c r="T164" s="1961">
        <f t="shared" si="126"/>
        <v>5100</v>
      </c>
      <c r="U164" s="1983" t="s">
        <v>517</v>
      </c>
      <c r="V164" s="1984">
        <f t="shared" si="134"/>
        <v>5100</v>
      </c>
      <c r="W164" s="1985">
        <f t="shared" si="127"/>
        <v>4594.5945945945941</v>
      </c>
      <c r="X164" s="1984">
        <f t="shared" si="128"/>
        <v>5100</v>
      </c>
      <c r="Y164" s="1985">
        <f t="shared" si="129"/>
        <v>4594.5945945945941</v>
      </c>
      <c r="Z164" s="1986" t="s">
        <v>1074</v>
      </c>
      <c r="AA164" s="1979">
        <v>2</v>
      </c>
      <c r="AB164" s="1978">
        <f>V164/2</f>
        <v>2550</v>
      </c>
      <c r="AC164" s="1978">
        <f t="shared" si="130"/>
        <v>2253.2473270301316</v>
      </c>
      <c r="AD164" s="1978">
        <f t="shared" si="131"/>
        <v>5100</v>
      </c>
      <c r="AE164" s="1978">
        <f t="shared" si="132"/>
        <v>4506.4946540602632</v>
      </c>
    </row>
    <row r="165" spans="1:31" ht="105" customHeight="1" x14ac:dyDescent="0.3">
      <c r="A165" s="224"/>
      <c r="B165" s="1107"/>
      <c r="C165" s="2297" t="s">
        <v>200</v>
      </c>
      <c r="D165" s="2280" t="s">
        <v>904</v>
      </c>
      <c r="E165" s="1974">
        <f>11390</f>
        <v>11390</v>
      </c>
      <c r="F165" s="1975">
        <v>22360</v>
      </c>
      <c r="G165" s="1975"/>
      <c r="H165" s="1976">
        <f t="shared" si="122"/>
        <v>33750</v>
      </c>
      <c r="I165" s="2022" t="s">
        <v>202</v>
      </c>
      <c r="J165" s="1978" t="s">
        <v>1015</v>
      </c>
      <c r="K165" s="1979">
        <v>15</v>
      </c>
      <c r="L165" s="1978">
        <f>H165/15</f>
        <v>2250</v>
      </c>
      <c r="M165" s="1978">
        <f t="shared" si="123"/>
        <v>1988.1594062030574</v>
      </c>
      <c r="N165" s="1978">
        <f t="shared" si="124"/>
        <v>33750</v>
      </c>
      <c r="O165" s="1980">
        <f t="shared" si="125"/>
        <v>29822.391093045862</v>
      </c>
      <c r="P165" s="1981">
        <f>20000</f>
        <v>20000</v>
      </c>
      <c r="Q165" s="1982"/>
      <c r="R165" s="1982"/>
      <c r="S165" s="1982"/>
      <c r="T165" s="1961">
        <f t="shared" si="126"/>
        <v>20000</v>
      </c>
      <c r="U165" s="1983" t="s">
        <v>780</v>
      </c>
      <c r="V165" s="1984">
        <f t="shared" si="134"/>
        <v>20000</v>
      </c>
      <c r="W165" s="1985">
        <f t="shared" si="127"/>
        <v>18018.018018018018</v>
      </c>
      <c r="X165" s="1984">
        <f t="shared" si="128"/>
        <v>-13750</v>
      </c>
      <c r="Y165" s="1985">
        <f t="shared" si="129"/>
        <v>-11804.373075027845</v>
      </c>
      <c r="Z165" s="1986" t="s">
        <v>1015</v>
      </c>
      <c r="AA165" s="1979">
        <v>12</v>
      </c>
      <c r="AB165" s="1978">
        <f>V165/12</f>
        <v>1666.6666666666667</v>
      </c>
      <c r="AC165" s="1978">
        <f t="shared" si="130"/>
        <v>1472.7106712615241</v>
      </c>
      <c r="AD165" s="1978">
        <f t="shared" si="131"/>
        <v>20000</v>
      </c>
      <c r="AE165" s="1978">
        <f t="shared" si="132"/>
        <v>17672.528055138289</v>
      </c>
    </row>
    <row r="166" spans="1:31" ht="60" customHeight="1" x14ac:dyDescent="0.3">
      <c r="A166" s="224"/>
      <c r="B166" s="1107"/>
      <c r="C166" s="2297" t="s">
        <v>559</v>
      </c>
      <c r="D166" s="2280" t="s">
        <v>203</v>
      </c>
      <c r="E166" s="2059">
        <v>7080</v>
      </c>
      <c r="F166" s="1975">
        <v>7337.5</v>
      </c>
      <c r="G166" s="1975">
        <f>7337.5</f>
        <v>7337.5</v>
      </c>
      <c r="H166" s="1976">
        <f t="shared" si="122"/>
        <v>21755</v>
      </c>
      <c r="I166" s="2022" t="s">
        <v>204</v>
      </c>
      <c r="J166" s="1978" t="s">
        <v>993</v>
      </c>
      <c r="K166" s="1979">
        <v>12</v>
      </c>
      <c r="L166" s="1978">
        <f>H166/12</f>
        <v>1812.9166666666667</v>
      </c>
      <c r="M166" s="1978">
        <f t="shared" si="123"/>
        <v>1601.9410326647228</v>
      </c>
      <c r="N166" s="1978">
        <f t="shared" si="124"/>
        <v>21755</v>
      </c>
      <c r="O166" s="1980">
        <f t="shared" si="125"/>
        <v>19223.292391976673</v>
      </c>
      <c r="P166" s="1981"/>
      <c r="Q166" s="1982"/>
      <c r="R166" s="1982"/>
      <c r="S166" s="1982"/>
      <c r="T166" s="1961"/>
      <c r="U166" s="1983"/>
      <c r="V166" s="1984"/>
      <c r="W166" s="1985"/>
      <c r="X166" s="1984">
        <f t="shared" si="128"/>
        <v>-21755</v>
      </c>
      <c r="Y166" s="1985">
        <f t="shared" si="129"/>
        <v>-19223.292391976673</v>
      </c>
      <c r="Z166" s="1986" t="s">
        <v>993</v>
      </c>
      <c r="AA166" s="1979"/>
      <c r="AB166" s="1978"/>
      <c r="AC166" s="1978"/>
      <c r="AD166" s="1978"/>
      <c r="AE166" s="1978">
        <f t="shared" si="132"/>
        <v>0</v>
      </c>
    </row>
    <row r="167" spans="1:31" ht="62.25" customHeight="1" x14ac:dyDescent="0.3">
      <c r="A167" s="224"/>
      <c r="B167" s="1107"/>
      <c r="C167" s="2297" t="s">
        <v>205</v>
      </c>
      <c r="D167" s="2280" t="s">
        <v>686</v>
      </c>
      <c r="E167" s="1974">
        <f>16000</f>
        <v>16000</v>
      </c>
      <c r="F167" s="1975"/>
      <c r="G167" s="1975"/>
      <c r="H167" s="1976">
        <f t="shared" si="122"/>
        <v>16000</v>
      </c>
      <c r="I167" s="2022" t="s">
        <v>1018</v>
      </c>
      <c r="J167" s="1978" t="s">
        <v>1013</v>
      </c>
      <c r="K167" s="1979">
        <v>3</v>
      </c>
      <c r="L167" s="1978">
        <f>H167/3</f>
        <v>5333.333333333333</v>
      </c>
      <c r="M167" s="1978">
        <f t="shared" si="123"/>
        <v>4712.6741480368764</v>
      </c>
      <c r="N167" s="1978">
        <f t="shared" si="124"/>
        <v>16000</v>
      </c>
      <c r="O167" s="1980">
        <f t="shared" si="125"/>
        <v>14138.022444110631</v>
      </c>
      <c r="P167" s="1981">
        <v>7600</v>
      </c>
      <c r="Q167" s="1982">
        <v>3100</v>
      </c>
      <c r="R167" s="1982">
        <f>3750.4</f>
        <v>3750.4</v>
      </c>
      <c r="S167" s="1982">
        <f>10996</f>
        <v>10996</v>
      </c>
      <c r="T167" s="1961">
        <f t="shared" si="126"/>
        <v>25446.400000000001</v>
      </c>
      <c r="U167" s="1983" t="s">
        <v>883</v>
      </c>
      <c r="V167" s="1984">
        <f t="shared" ref="V167:V172" si="135">P167+Q167+R167+S167</f>
        <v>25446.400000000001</v>
      </c>
      <c r="W167" s="1985">
        <f t="shared" si="127"/>
        <v>22924.684684684686</v>
      </c>
      <c r="X167" s="1984">
        <f t="shared" si="128"/>
        <v>9446.4000000000015</v>
      </c>
      <c r="Y167" s="1985">
        <f t="shared" si="129"/>
        <v>8786.6622405740545</v>
      </c>
      <c r="Z167" s="1986" t="s">
        <v>1013</v>
      </c>
      <c r="AA167" s="1979">
        <v>4</v>
      </c>
      <c r="AB167" s="1978">
        <f>V167/4</f>
        <v>6361.6</v>
      </c>
      <c r="AC167" s="1978">
        <f t="shared" si="130"/>
        <v>5621.2777237783876</v>
      </c>
      <c r="AD167" s="1978">
        <f t="shared" si="131"/>
        <v>25446.400000000001</v>
      </c>
      <c r="AE167" s="1978">
        <f t="shared" si="132"/>
        <v>22485.11089511355</v>
      </c>
    </row>
    <row r="168" spans="1:31" ht="42.75" customHeight="1" x14ac:dyDescent="0.3">
      <c r="A168" s="224"/>
      <c r="B168" s="1107"/>
      <c r="C168" s="2297" t="s">
        <v>518</v>
      </c>
      <c r="D168" s="2280" t="s">
        <v>519</v>
      </c>
      <c r="E168" s="1974"/>
      <c r="F168" s="1975"/>
      <c r="G168" s="1975"/>
      <c r="H168" s="1976">
        <f t="shared" si="122"/>
        <v>0</v>
      </c>
      <c r="I168" s="2022"/>
      <c r="J168" s="1978"/>
      <c r="K168" s="1979">
        <v>0</v>
      </c>
      <c r="L168" s="1978">
        <f t="shared" si="133"/>
        <v>0</v>
      </c>
      <c r="M168" s="1978">
        <f t="shared" si="123"/>
        <v>0</v>
      </c>
      <c r="N168" s="1978">
        <f t="shared" si="124"/>
        <v>0</v>
      </c>
      <c r="O168" s="1980">
        <f t="shared" si="125"/>
        <v>0</v>
      </c>
      <c r="P168" s="1981"/>
      <c r="Q168" s="1982"/>
      <c r="R168" s="1982">
        <f>4100</f>
        <v>4100</v>
      </c>
      <c r="S168" s="1982"/>
      <c r="T168" s="1961">
        <f t="shared" si="126"/>
        <v>4100</v>
      </c>
      <c r="U168" s="1983" t="s">
        <v>762</v>
      </c>
      <c r="V168" s="1984">
        <f t="shared" si="135"/>
        <v>4100</v>
      </c>
      <c r="W168" s="1985">
        <f t="shared" si="127"/>
        <v>3693.6936936936931</v>
      </c>
      <c r="X168" s="1984">
        <f t="shared" si="128"/>
        <v>4100</v>
      </c>
      <c r="Y168" s="1985">
        <f t="shared" si="129"/>
        <v>3693.6936936936931</v>
      </c>
      <c r="Z168" s="1986" t="s">
        <v>1013</v>
      </c>
      <c r="AA168" s="1979">
        <v>1</v>
      </c>
      <c r="AB168" s="1978">
        <f>V168/1</f>
        <v>4100</v>
      </c>
      <c r="AC168" s="1978">
        <f t="shared" si="130"/>
        <v>3622.8682513033491</v>
      </c>
      <c r="AD168" s="1978">
        <f t="shared" si="131"/>
        <v>4100</v>
      </c>
      <c r="AE168" s="1978">
        <f t="shared" si="132"/>
        <v>3622.8682513033491</v>
      </c>
    </row>
    <row r="169" spans="1:31" ht="75.75" customHeight="1" x14ac:dyDescent="0.3">
      <c r="A169" s="224"/>
      <c r="B169" s="1107"/>
      <c r="C169" s="2297" t="s">
        <v>687</v>
      </c>
      <c r="D169" s="2280" t="s">
        <v>688</v>
      </c>
      <c r="E169" s="1974"/>
      <c r="F169" s="1975"/>
      <c r="G169" s="1975"/>
      <c r="H169" s="1976">
        <f t="shared" si="122"/>
        <v>0</v>
      </c>
      <c r="I169" s="2022"/>
      <c r="J169" s="1978"/>
      <c r="K169" s="1979">
        <v>0</v>
      </c>
      <c r="L169" s="1978">
        <f t="shared" si="133"/>
        <v>0</v>
      </c>
      <c r="M169" s="1978">
        <f t="shared" si="123"/>
        <v>0</v>
      </c>
      <c r="N169" s="1978">
        <f t="shared" si="124"/>
        <v>0</v>
      </c>
      <c r="O169" s="1980">
        <f t="shared" si="125"/>
        <v>0</v>
      </c>
      <c r="P169" s="1981"/>
      <c r="Q169" s="1982"/>
      <c r="R169" s="1982">
        <v>2400</v>
      </c>
      <c r="S169" s="1982">
        <f>2400</f>
        <v>2400</v>
      </c>
      <c r="T169" s="1961">
        <f t="shared" ref="T169" si="136">SUM(P169:S169)</f>
        <v>4800</v>
      </c>
      <c r="U169" s="1983" t="s">
        <v>689</v>
      </c>
      <c r="V169" s="1984">
        <f t="shared" si="135"/>
        <v>4800</v>
      </c>
      <c r="W169" s="1985">
        <f t="shared" si="127"/>
        <v>4324.3243243243242</v>
      </c>
      <c r="X169" s="1984">
        <f t="shared" si="128"/>
        <v>4800</v>
      </c>
      <c r="Y169" s="1985">
        <f t="shared" si="129"/>
        <v>4324.3243243243242</v>
      </c>
      <c r="Z169" s="1986" t="s">
        <v>993</v>
      </c>
      <c r="AA169" s="1979">
        <v>60</v>
      </c>
      <c r="AB169" s="1978">
        <f>V169/60</f>
        <v>80</v>
      </c>
      <c r="AC169" s="1978">
        <f t="shared" si="130"/>
        <v>70.690112220553161</v>
      </c>
      <c r="AD169" s="1978">
        <f t="shared" si="131"/>
        <v>4800</v>
      </c>
      <c r="AE169" s="1978">
        <f t="shared" si="132"/>
        <v>4241.4067332331897</v>
      </c>
    </row>
    <row r="170" spans="1:31" ht="57.75" customHeight="1" x14ac:dyDescent="0.3">
      <c r="A170" s="224"/>
      <c r="B170" s="1107"/>
      <c r="C170" s="2297" t="s">
        <v>520</v>
      </c>
      <c r="D170" s="2280" t="s">
        <v>521</v>
      </c>
      <c r="E170" s="1974"/>
      <c r="F170" s="1975"/>
      <c r="G170" s="1975"/>
      <c r="H170" s="1976">
        <f t="shared" si="122"/>
        <v>0</v>
      </c>
      <c r="I170" s="2022"/>
      <c r="J170" s="1978"/>
      <c r="K170" s="1979">
        <v>0</v>
      </c>
      <c r="L170" s="1978">
        <f t="shared" si="133"/>
        <v>0</v>
      </c>
      <c r="M170" s="1978">
        <f t="shared" si="123"/>
        <v>0</v>
      </c>
      <c r="N170" s="1978">
        <f t="shared" si="124"/>
        <v>0</v>
      </c>
      <c r="O170" s="1980">
        <f t="shared" si="125"/>
        <v>0</v>
      </c>
      <c r="P170" s="1981"/>
      <c r="Q170" s="1982"/>
      <c r="R170" s="1982"/>
      <c r="S170" s="1982"/>
      <c r="T170" s="1961">
        <f t="shared" si="126"/>
        <v>0</v>
      </c>
      <c r="U170" s="1983"/>
      <c r="V170" s="1984">
        <f t="shared" si="135"/>
        <v>0</v>
      </c>
      <c r="W170" s="1985">
        <f t="shared" si="127"/>
        <v>0</v>
      </c>
      <c r="X170" s="1984">
        <f t="shared" si="128"/>
        <v>0</v>
      </c>
      <c r="Y170" s="1985">
        <f t="shared" si="129"/>
        <v>0</v>
      </c>
      <c r="Z170" s="1986"/>
      <c r="AA170" s="1979">
        <v>0</v>
      </c>
      <c r="AB170" s="1978">
        <f>V170/40</f>
        <v>0</v>
      </c>
      <c r="AC170" s="1978">
        <f t="shared" si="130"/>
        <v>0</v>
      </c>
      <c r="AD170" s="1978">
        <f t="shared" si="131"/>
        <v>0</v>
      </c>
      <c r="AE170" s="1978">
        <f t="shared" si="132"/>
        <v>0</v>
      </c>
    </row>
    <row r="171" spans="1:31" ht="39.75" customHeight="1" x14ac:dyDescent="0.3">
      <c r="A171" s="224"/>
      <c r="B171" s="1107"/>
      <c r="C171" s="2297" t="s">
        <v>692</v>
      </c>
      <c r="D171" s="2280" t="s">
        <v>690</v>
      </c>
      <c r="E171" s="1974"/>
      <c r="F171" s="1975"/>
      <c r="G171" s="1975"/>
      <c r="H171" s="1976">
        <f t="shared" si="122"/>
        <v>0</v>
      </c>
      <c r="I171" s="2022"/>
      <c r="J171" s="1978"/>
      <c r="K171" s="1979">
        <v>0</v>
      </c>
      <c r="L171" s="1978">
        <f t="shared" si="133"/>
        <v>0</v>
      </c>
      <c r="M171" s="1978">
        <f t="shared" si="123"/>
        <v>0</v>
      </c>
      <c r="N171" s="1978">
        <f t="shared" si="124"/>
        <v>0</v>
      </c>
      <c r="O171" s="1980">
        <f t="shared" si="125"/>
        <v>0</v>
      </c>
      <c r="P171" s="2060"/>
      <c r="Q171" s="2061"/>
      <c r="R171" s="1982"/>
      <c r="S171" s="1982"/>
      <c r="T171" s="1961">
        <f t="shared" si="126"/>
        <v>0</v>
      </c>
      <c r="U171" s="1983" t="s">
        <v>691</v>
      </c>
      <c r="V171" s="1984">
        <f t="shared" si="135"/>
        <v>0</v>
      </c>
      <c r="W171" s="1985">
        <f t="shared" si="127"/>
        <v>0</v>
      </c>
      <c r="X171" s="1984">
        <f t="shared" si="128"/>
        <v>0</v>
      </c>
      <c r="Y171" s="1985">
        <f t="shared" si="129"/>
        <v>0</v>
      </c>
      <c r="Z171" s="1986"/>
      <c r="AA171" s="1979">
        <v>0</v>
      </c>
      <c r="AB171" s="1978">
        <f>V171/40</f>
        <v>0</v>
      </c>
      <c r="AC171" s="1978">
        <f t="shared" si="130"/>
        <v>0</v>
      </c>
      <c r="AD171" s="1978"/>
      <c r="AE171" s="1978">
        <f t="shared" si="132"/>
        <v>0</v>
      </c>
    </row>
    <row r="172" spans="1:31" ht="52.5" customHeight="1" x14ac:dyDescent="0.3">
      <c r="A172" s="224"/>
      <c r="B172" s="1092"/>
      <c r="C172" s="2297" t="s">
        <v>207</v>
      </c>
      <c r="D172" s="2280" t="s">
        <v>208</v>
      </c>
      <c r="E172" s="1974"/>
      <c r="F172" s="1975">
        <f>4000</f>
        <v>4000</v>
      </c>
      <c r="G172" s="1975"/>
      <c r="H172" s="1976">
        <f t="shared" si="122"/>
        <v>4000</v>
      </c>
      <c r="I172" s="2022" t="s">
        <v>209</v>
      </c>
      <c r="J172" s="1978" t="s">
        <v>1000</v>
      </c>
      <c r="K172" s="1979">
        <v>10</v>
      </c>
      <c r="L172" s="1978">
        <f>H172/10</f>
        <v>400</v>
      </c>
      <c r="M172" s="1978">
        <f t="shared" si="123"/>
        <v>353.45056110276579</v>
      </c>
      <c r="N172" s="1978">
        <f t="shared" si="124"/>
        <v>4000</v>
      </c>
      <c r="O172" s="1980">
        <f t="shared" si="125"/>
        <v>3534.5056110276578</v>
      </c>
      <c r="P172" s="1981"/>
      <c r="Q172" s="1982"/>
      <c r="R172" s="1982">
        <v>2000</v>
      </c>
      <c r="S172" s="1982">
        <v>6000</v>
      </c>
      <c r="T172" s="1961">
        <f t="shared" si="126"/>
        <v>8000</v>
      </c>
      <c r="U172" s="1983" t="s">
        <v>615</v>
      </c>
      <c r="V172" s="1984">
        <f t="shared" si="135"/>
        <v>8000</v>
      </c>
      <c r="W172" s="1985">
        <f t="shared" si="127"/>
        <v>7207.2072072072069</v>
      </c>
      <c r="X172" s="1984">
        <f t="shared" si="128"/>
        <v>4000</v>
      </c>
      <c r="Y172" s="1985">
        <f t="shared" si="129"/>
        <v>3672.7015961795491</v>
      </c>
      <c r="Z172" s="1986" t="s">
        <v>1000</v>
      </c>
      <c r="AA172" s="1979">
        <v>1</v>
      </c>
      <c r="AB172" s="1978">
        <f>V172/1</f>
        <v>8000</v>
      </c>
      <c r="AC172" s="1978">
        <f t="shared" si="130"/>
        <v>7069.0112220553156</v>
      </c>
      <c r="AD172" s="1978">
        <f t="shared" si="131"/>
        <v>8000</v>
      </c>
      <c r="AE172" s="1978">
        <f t="shared" si="132"/>
        <v>7069.0112220553156</v>
      </c>
    </row>
    <row r="173" spans="1:31" ht="50.25" customHeight="1" x14ac:dyDescent="0.3">
      <c r="A173" s="224"/>
      <c r="B173" s="1092"/>
      <c r="C173" s="2297" t="s">
        <v>560</v>
      </c>
      <c r="D173" s="2280" t="s">
        <v>210</v>
      </c>
      <c r="E173" s="2059"/>
      <c r="F173" s="1975">
        <f>3200</f>
        <v>3200</v>
      </c>
      <c r="G173" s="1975"/>
      <c r="H173" s="1976">
        <f t="shared" si="122"/>
        <v>3200</v>
      </c>
      <c r="I173" s="2022" t="s">
        <v>211</v>
      </c>
      <c r="J173" s="1978" t="s">
        <v>1000</v>
      </c>
      <c r="K173" s="1979">
        <v>8</v>
      </c>
      <c r="L173" s="1978">
        <f>H173/8</f>
        <v>400</v>
      </c>
      <c r="M173" s="1978">
        <f t="shared" si="123"/>
        <v>353.45056110276579</v>
      </c>
      <c r="N173" s="1978">
        <f t="shared" si="124"/>
        <v>3200</v>
      </c>
      <c r="O173" s="1980">
        <f t="shared" si="125"/>
        <v>2827.6044888221263</v>
      </c>
      <c r="P173" s="1981"/>
      <c r="Q173" s="1982"/>
      <c r="R173" s="1982"/>
      <c r="S173" s="1982"/>
      <c r="T173" s="1961"/>
      <c r="U173" s="1983"/>
      <c r="V173" s="1984"/>
      <c r="W173" s="1985"/>
      <c r="X173" s="1984">
        <f t="shared" si="128"/>
        <v>-3200</v>
      </c>
      <c r="Y173" s="1985">
        <f t="shared" si="129"/>
        <v>-2827.6044888221263</v>
      </c>
      <c r="Z173" s="1986"/>
      <c r="AA173" s="1979"/>
      <c r="AB173" s="1978"/>
      <c r="AC173" s="1978"/>
      <c r="AD173" s="1978"/>
      <c r="AE173" s="1978">
        <f t="shared" si="132"/>
        <v>0</v>
      </c>
    </row>
    <row r="174" spans="1:31" ht="54.75" customHeight="1" x14ac:dyDescent="0.3">
      <c r="A174" s="224"/>
      <c r="B174" s="1092"/>
      <c r="C174" s="2297" t="s">
        <v>561</v>
      </c>
      <c r="D174" s="2280" t="s">
        <v>212</v>
      </c>
      <c r="E174" s="2059"/>
      <c r="F174" s="1975">
        <f>2000</f>
        <v>2000</v>
      </c>
      <c r="G174" s="1975"/>
      <c r="H174" s="1976">
        <f t="shared" si="122"/>
        <v>2000</v>
      </c>
      <c r="I174" s="2022" t="s">
        <v>213</v>
      </c>
      <c r="J174" s="1978" t="s">
        <v>1000</v>
      </c>
      <c r="K174" s="1979">
        <v>5</v>
      </c>
      <c r="L174" s="1978">
        <f t="shared" si="133"/>
        <v>400</v>
      </c>
      <c r="M174" s="1978">
        <f t="shared" si="123"/>
        <v>353.45056110276579</v>
      </c>
      <c r="N174" s="1978">
        <f t="shared" si="124"/>
        <v>2000</v>
      </c>
      <c r="O174" s="1980">
        <f t="shared" si="125"/>
        <v>1767.2528055138289</v>
      </c>
      <c r="P174" s="1981"/>
      <c r="Q174" s="1982"/>
      <c r="R174" s="1982"/>
      <c r="S174" s="1982"/>
      <c r="T174" s="1961"/>
      <c r="U174" s="1983"/>
      <c r="V174" s="1984"/>
      <c r="W174" s="1985"/>
      <c r="X174" s="1984">
        <f t="shared" si="128"/>
        <v>-2000</v>
      </c>
      <c r="Y174" s="1985">
        <f t="shared" si="129"/>
        <v>-1767.2528055138289</v>
      </c>
      <c r="Z174" s="1986"/>
      <c r="AA174" s="1979"/>
      <c r="AB174" s="1978"/>
      <c r="AC174" s="1978"/>
      <c r="AD174" s="1978"/>
      <c r="AE174" s="1978">
        <f t="shared" si="132"/>
        <v>0</v>
      </c>
    </row>
    <row r="175" spans="1:31" ht="51.75" customHeight="1" x14ac:dyDescent="0.3">
      <c r="A175" s="224"/>
      <c r="B175" s="1092"/>
      <c r="C175" s="2241" t="s">
        <v>214</v>
      </c>
      <c r="D175" s="2247" t="s">
        <v>215</v>
      </c>
      <c r="E175" s="1974">
        <f>25395</f>
        <v>25395</v>
      </c>
      <c r="F175" s="1975">
        <f>26465</f>
        <v>26465</v>
      </c>
      <c r="G175" s="1975">
        <f>23485</f>
        <v>23485</v>
      </c>
      <c r="H175" s="1976">
        <f t="shared" si="122"/>
        <v>75345</v>
      </c>
      <c r="I175" s="2022" t="s">
        <v>216</v>
      </c>
      <c r="J175" s="1978" t="s">
        <v>1019</v>
      </c>
      <c r="K175" s="1979">
        <v>3</v>
      </c>
      <c r="L175" s="1978">
        <f>H175/3</f>
        <v>25115</v>
      </c>
      <c r="M175" s="1978">
        <f t="shared" si="123"/>
        <v>22192.277105239908</v>
      </c>
      <c r="N175" s="1978">
        <f t="shared" si="124"/>
        <v>75345</v>
      </c>
      <c r="O175" s="1980">
        <f t="shared" si="125"/>
        <v>66576.831315719712</v>
      </c>
      <c r="P175" s="1981">
        <f>42000</f>
        <v>42000</v>
      </c>
      <c r="Q175" s="1982">
        <v>31000</v>
      </c>
      <c r="R175" s="1961">
        <f>20800</f>
        <v>20800</v>
      </c>
      <c r="S175" s="1961">
        <f>31050</f>
        <v>31050</v>
      </c>
      <c r="T175" s="1961">
        <f t="shared" si="126"/>
        <v>124850</v>
      </c>
      <c r="U175" s="1983" t="s">
        <v>884</v>
      </c>
      <c r="V175" s="1984">
        <f t="shared" ref="V175:V190" si="137">P175+Q175+R175+S175</f>
        <v>124850</v>
      </c>
      <c r="W175" s="1985">
        <f t="shared" si="127"/>
        <v>112477.47747747747</v>
      </c>
      <c r="X175" s="1984">
        <f t="shared" si="128"/>
        <v>49505</v>
      </c>
      <c r="Y175" s="1985">
        <f t="shared" si="129"/>
        <v>45900.646161757759</v>
      </c>
      <c r="Z175" s="1986" t="s">
        <v>993</v>
      </c>
      <c r="AA175" s="1979">
        <v>50</v>
      </c>
      <c r="AB175" s="1978">
        <f>V175/50</f>
        <v>2497</v>
      </c>
      <c r="AC175" s="1978">
        <f t="shared" si="130"/>
        <v>2206.4151276840153</v>
      </c>
      <c r="AD175" s="1978">
        <f t="shared" si="131"/>
        <v>124850</v>
      </c>
      <c r="AE175" s="1978">
        <f t="shared" si="132"/>
        <v>110320.75638420077</v>
      </c>
    </row>
    <row r="176" spans="1:31" ht="36.75" customHeight="1" x14ac:dyDescent="0.3">
      <c r="A176" s="224"/>
      <c r="B176" s="1092"/>
      <c r="C176" s="2306" t="s">
        <v>217</v>
      </c>
      <c r="D176" s="2311" t="s">
        <v>218</v>
      </c>
      <c r="E176" s="1974">
        <f>20000</f>
        <v>20000</v>
      </c>
      <c r="F176" s="1975"/>
      <c r="G176" s="1975"/>
      <c r="H176" s="1976">
        <f t="shared" si="122"/>
        <v>20000</v>
      </c>
      <c r="I176" s="2022" t="s">
        <v>219</v>
      </c>
      <c r="J176" s="1978" t="s">
        <v>1000</v>
      </c>
      <c r="K176" s="1979">
        <v>50</v>
      </c>
      <c r="L176" s="1978">
        <f>H176/50</f>
        <v>400</v>
      </c>
      <c r="M176" s="1978">
        <f t="shared" si="123"/>
        <v>353.45056110276579</v>
      </c>
      <c r="N176" s="1978">
        <f t="shared" si="124"/>
        <v>20000</v>
      </c>
      <c r="O176" s="1980">
        <f t="shared" si="125"/>
        <v>17672.528055138289</v>
      </c>
      <c r="P176" s="1981">
        <f>9700</f>
        <v>9700</v>
      </c>
      <c r="Q176" s="1982"/>
      <c r="R176" s="1982">
        <f>19600+2500</f>
        <v>22100</v>
      </c>
      <c r="S176" s="1982">
        <v>10000</v>
      </c>
      <c r="T176" s="1961">
        <f t="shared" si="126"/>
        <v>41800</v>
      </c>
      <c r="U176" s="1983" t="s">
        <v>885</v>
      </c>
      <c r="V176" s="1984">
        <f t="shared" si="137"/>
        <v>41800</v>
      </c>
      <c r="W176" s="1985">
        <f t="shared" si="127"/>
        <v>37657.657657657655</v>
      </c>
      <c r="X176" s="1984">
        <f t="shared" si="128"/>
        <v>21800</v>
      </c>
      <c r="Y176" s="1985">
        <f t="shared" si="129"/>
        <v>19985.129602519366</v>
      </c>
      <c r="Z176" s="1986" t="s">
        <v>1000</v>
      </c>
      <c r="AA176" s="1979">
        <v>50</v>
      </c>
      <c r="AB176" s="1978">
        <f>V176/50</f>
        <v>836</v>
      </c>
      <c r="AC176" s="1978">
        <f t="shared" si="130"/>
        <v>738.71167270478043</v>
      </c>
      <c r="AD176" s="1978">
        <f t="shared" si="131"/>
        <v>41800</v>
      </c>
      <c r="AE176" s="1978">
        <f t="shared" si="132"/>
        <v>36935.583635239025</v>
      </c>
    </row>
    <row r="177" spans="1:31" ht="48.75" customHeight="1" x14ac:dyDescent="0.3">
      <c r="A177" s="224"/>
      <c r="B177" s="1092"/>
      <c r="C177" s="2241" t="s">
        <v>523</v>
      </c>
      <c r="D177" s="2247" t="s">
        <v>524</v>
      </c>
      <c r="E177" s="1974"/>
      <c r="F177" s="1975"/>
      <c r="G177" s="1975"/>
      <c r="H177" s="1976">
        <f t="shared" si="122"/>
        <v>0</v>
      </c>
      <c r="I177" s="2022"/>
      <c r="J177" s="1978"/>
      <c r="K177" s="1979">
        <v>0</v>
      </c>
      <c r="L177" s="1978">
        <f t="shared" si="133"/>
        <v>0</v>
      </c>
      <c r="M177" s="1978">
        <f t="shared" si="123"/>
        <v>0</v>
      </c>
      <c r="N177" s="1978">
        <f t="shared" si="124"/>
        <v>0</v>
      </c>
      <c r="O177" s="1980">
        <f t="shared" si="125"/>
        <v>0</v>
      </c>
      <c r="P177" s="1981">
        <f>18000</f>
        <v>18000</v>
      </c>
      <c r="Q177" s="1982"/>
      <c r="R177" s="1982"/>
      <c r="S177" s="1982"/>
      <c r="T177" s="1961">
        <f t="shared" si="126"/>
        <v>18000</v>
      </c>
      <c r="U177" s="1983" t="s">
        <v>525</v>
      </c>
      <c r="V177" s="1984">
        <f t="shared" si="137"/>
        <v>18000</v>
      </c>
      <c r="W177" s="1985">
        <f t="shared" si="127"/>
        <v>16216.216216216215</v>
      </c>
      <c r="X177" s="1984">
        <f t="shared" si="128"/>
        <v>18000</v>
      </c>
      <c r="Y177" s="1985">
        <f t="shared" si="129"/>
        <v>16216.216216216215</v>
      </c>
      <c r="Z177" s="1986" t="s">
        <v>993</v>
      </c>
      <c r="AA177" s="1979">
        <v>26</v>
      </c>
      <c r="AB177" s="1978">
        <f>V177/26</f>
        <v>692.30769230769226</v>
      </c>
      <c r="AC177" s="1978">
        <f t="shared" si="130"/>
        <v>611.74135575478692</v>
      </c>
      <c r="AD177" s="1978">
        <f t="shared" si="131"/>
        <v>18000</v>
      </c>
      <c r="AE177" s="1978">
        <f t="shared" si="132"/>
        <v>15905.275249624459</v>
      </c>
    </row>
    <row r="178" spans="1:31" ht="48" customHeight="1" x14ac:dyDescent="0.3">
      <c r="A178" s="224"/>
      <c r="B178" s="1092"/>
      <c r="C178" s="2241" t="s">
        <v>526</v>
      </c>
      <c r="D178" s="2250" t="s">
        <v>527</v>
      </c>
      <c r="E178" s="1974"/>
      <c r="F178" s="1975"/>
      <c r="G178" s="1975"/>
      <c r="H178" s="1976">
        <f t="shared" si="122"/>
        <v>0</v>
      </c>
      <c r="I178" s="2022"/>
      <c r="J178" s="1978"/>
      <c r="K178" s="1979">
        <v>0</v>
      </c>
      <c r="L178" s="1978">
        <f t="shared" si="133"/>
        <v>0</v>
      </c>
      <c r="M178" s="1978">
        <f t="shared" si="123"/>
        <v>0</v>
      </c>
      <c r="N178" s="1978">
        <f t="shared" si="124"/>
        <v>0</v>
      </c>
      <c r="O178" s="1980">
        <f t="shared" si="125"/>
        <v>0</v>
      </c>
      <c r="P178" s="2062"/>
      <c r="Q178" s="1982"/>
      <c r="R178" s="1982">
        <f>5100</f>
        <v>5100</v>
      </c>
      <c r="S178" s="1982"/>
      <c r="T178" s="1961">
        <f t="shared" si="126"/>
        <v>5100</v>
      </c>
      <c r="U178" s="1983" t="s">
        <v>1057</v>
      </c>
      <c r="V178" s="1984">
        <f t="shared" si="137"/>
        <v>5100</v>
      </c>
      <c r="W178" s="1985">
        <f t="shared" si="127"/>
        <v>4594.5945945945941</v>
      </c>
      <c r="X178" s="1984">
        <f t="shared" si="128"/>
        <v>5100</v>
      </c>
      <c r="Y178" s="1985">
        <f t="shared" si="129"/>
        <v>4594.5945945945941</v>
      </c>
      <c r="Z178" s="1986" t="s">
        <v>1001</v>
      </c>
      <c r="AA178" s="1979">
        <v>10</v>
      </c>
      <c r="AB178" s="1978">
        <f>V178/10</f>
        <v>510</v>
      </c>
      <c r="AC178" s="1978">
        <f t="shared" si="130"/>
        <v>450.64946540602637</v>
      </c>
      <c r="AD178" s="1978">
        <f>AA178*AB178</f>
        <v>5100</v>
      </c>
      <c r="AE178" s="1978">
        <f t="shared" si="132"/>
        <v>4506.4946540602632</v>
      </c>
    </row>
    <row r="179" spans="1:31" ht="45.75" customHeight="1" x14ac:dyDescent="0.3">
      <c r="A179" s="224"/>
      <c r="B179" s="1092"/>
      <c r="C179" s="2307" t="s">
        <v>529</v>
      </c>
      <c r="D179" s="2280" t="s">
        <v>530</v>
      </c>
      <c r="E179" s="1974"/>
      <c r="F179" s="1975"/>
      <c r="G179" s="1975"/>
      <c r="H179" s="1976">
        <f t="shared" si="122"/>
        <v>0</v>
      </c>
      <c r="I179" s="2022"/>
      <c r="J179" s="1978"/>
      <c r="K179" s="1979">
        <v>0</v>
      </c>
      <c r="L179" s="1978">
        <f t="shared" si="133"/>
        <v>0</v>
      </c>
      <c r="M179" s="1978">
        <f t="shared" si="123"/>
        <v>0</v>
      </c>
      <c r="N179" s="1978">
        <f t="shared" si="124"/>
        <v>0</v>
      </c>
      <c r="O179" s="1980">
        <f t="shared" si="125"/>
        <v>0</v>
      </c>
      <c r="P179" s="1981"/>
      <c r="Q179" s="1982"/>
      <c r="R179" s="1982">
        <f>40990-5453.12</f>
        <v>35536.879999999997</v>
      </c>
      <c r="S179" s="1982">
        <f>35000</f>
        <v>35000</v>
      </c>
      <c r="T179" s="1961">
        <f t="shared" si="126"/>
        <v>70536.88</v>
      </c>
      <c r="U179" s="1983" t="s">
        <v>1059</v>
      </c>
      <c r="V179" s="1984">
        <f t="shared" si="137"/>
        <v>70536.88</v>
      </c>
      <c r="W179" s="1985">
        <f t="shared" si="127"/>
        <v>63546.738738738735</v>
      </c>
      <c r="X179" s="1984">
        <f t="shared" si="128"/>
        <v>70536.88</v>
      </c>
      <c r="Y179" s="1985">
        <f t="shared" si="129"/>
        <v>63546.738738738735</v>
      </c>
      <c r="Z179" s="1986" t="s">
        <v>1075</v>
      </c>
      <c r="AA179" s="1979">
        <v>2</v>
      </c>
      <c r="AB179" s="1978">
        <f>V179/2</f>
        <v>35268.44</v>
      </c>
      <c r="AC179" s="1978">
        <f t="shared" si="130"/>
        <v>31164.124768048074</v>
      </c>
      <c r="AD179" s="1978">
        <f>AA179*AB179</f>
        <v>70536.88</v>
      </c>
      <c r="AE179" s="1978">
        <f t="shared" si="132"/>
        <v>62328.249536096147</v>
      </c>
    </row>
    <row r="180" spans="1:31" ht="107.25" customHeight="1" x14ac:dyDescent="0.3">
      <c r="A180" s="224"/>
      <c r="B180" s="1092"/>
      <c r="C180" s="2294" t="s">
        <v>220</v>
      </c>
      <c r="D180" s="2295" t="s">
        <v>905</v>
      </c>
      <c r="E180" s="1974">
        <f>25395</f>
        <v>25395</v>
      </c>
      <c r="F180" s="1975"/>
      <c r="G180" s="1975"/>
      <c r="H180" s="1976">
        <f t="shared" si="122"/>
        <v>25395</v>
      </c>
      <c r="I180" s="2022" t="s">
        <v>222</v>
      </c>
      <c r="J180" s="1978" t="s">
        <v>993</v>
      </c>
      <c r="K180" s="1979">
        <v>40</v>
      </c>
      <c r="L180" s="1978">
        <f>H180/40</f>
        <v>634.875</v>
      </c>
      <c r="M180" s="1978">
        <f t="shared" si="123"/>
        <v>560.99231245029603</v>
      </c>
      <c r="N180" s="1978">
        <f t="shared" si="124"/>
        <v>25395</v>
      </c>
      <c r="O180" s="1980">
        <f t="shared" si="125"/>
        <v>22439.692498011842</v>
      </c>
      <c r="P180" s="1981">
        <f>40900</f>
        <v>40900</v>
      </c>
      <c r="Q180" s="1982"/>
      <c r="R180" s="1982"/>
      <c r="S180" s="1982"/>
      <c r="T180" s="1961">
        <f t="shared" si="126"/>
        <v>40900</v>
      </c>
      <c r="U180" s="1983" t="s">
        <v>617</v>
      </c>
      <c r="V180" s="1984">
        <f t="shared" si="137"/>
        <v>40900</v>
      </c>
      <c r="W180" s="1985">
        <f t="shared" si="127"/>
        <v>36846.846846846842</v>
      </c>
      <c r="X180" s="1984">
        <f t="shared" si="128"/>
        <v>15505</v>
      </c>
      <c r="Y180" s="1985">
        <f t="shared" si="129"/>
        <v>14407.154348835</v>
      </c>
      <c r="Z180" s="1986" t="s">
        <v>993</v>
      </c>
      <c r="AA180" s="1979">
        <v>45</v>
      </c>
      <c r="AB180" s="1978">
        <f>V180/45</f>
        <v>908.88888888888891</v>
      </c>
      <c r="AC180" s="1978">
        <f t="shared" si="130"/>
        <v>803.11821939461777</v>
      </c>
      <c r="AD180" s="1978">
        <f t="shared" si="131"/>
        <v>40900</v>
      </c>
      <c r="AE180" s="1978">
        <f t="shared" si="132"/>
        <v>36140.319872757798</v>
      </c>
    </row>
    <row r="181" spans="1:31" ht="129" customHeight="1" x14ac:dyDescent="0.3">
      <c r="A181" s="224"/>
      <c r="B181" s="1303"/>
      <c r="C181" s="2297" t="s">
        <v>223</v>
      </c>
      <c r="D181" s="2280" t="s">
        <v>562</v>
      </c>
      <c r="E181" s="1974">
        <f>30250</f>
        <v>30250</v>
      </c>
      <c r="F181" s="1975">
        <v>32650</v>
      </c>
      <c r="G181" s="1975"/>
      <c r="H181" s="1976">
        <f t="shared" si="122"/>
        <v>62900</v>
      </c>
      <c r="I181" s="2022" t="s">
        <v>224</v>
      </c>
      <c r="J181" s="1978" t="s">
        <v>993</v>
      </c>
      <c r="K181" s="1979">
        <v>100</v>
      </c>
      <c r="L181" s="1978">
        <f>H181/100</f>
        <v>629</v>
      </c>
      <c r="M181" s="1978">
        <f t="shared" si="123"/>
        <v>555.80100733409915</v>
      </c>
      <c r="N181" s="1978">
        <f t="shared" si="124"/>
        <v>62900</v>
      </c>
      <c r="O181" s="1980">
        <f t="shared" si="125"/>
        <v>55580.100733409919</v>
      </c>
      <c r="P181" s="1981">
        <f>55100</f>
        <v>55100</v>
      </c>
      <c r="Q181" s="1982">
        <v>39900</v>
      </c>
      <c r="R181" s="1982">
        <f>880</f>
        <v>880</v>
      </c>
      <c r="S181" s="1982"/>
      <c r="T181" s="1961">
        <f t="shared" si="126"/>
        <v>95880</v>
      </c>
      <c r="U181" s="1983" t="s">
        <v>618</v>
      </c>
      <c r="V181" s="1984">
        <f t="shared" si="137"/>
        <v>95880</v>
      </c>
      <c r="W181" s="1985">
        <f t="shared" si="127"/>
        <v>86378.378378378373</v>
      </c>
      <c r="X181" s="1984">
        <f t="shared" si="128"/>
        <v>32980</v>
      </c>
      <c r="Y181" s="1985">
        <f t="shared" si="129"/>
        <v>30798.277644968453</v>
      </c>
      <c r="Z181" s="1986" t="s">
        <v>993</v>
      </c>
      <c r="AA181" s="1979">
        <v>150</v>
      </c>
      <c r="AB181" s="1978">
        <f>V181/150</f>
        <v>639.20000000000005</v>
      </c>
      <c r="AC181" s="1978">
        <f t="shared" si="130"/>
        <v>564.81399664221976</v>
      </c>
      <c r="AD181" s="1978">
        <f t="shared" si="131"/>
        <v>95880</v>
      </c>
      <c r="AE181" s="1978">
        <f t="shared" si="132"/>
        <v>84722.099496332958</v>
      </c>
    </row>
    <row r="182" spans="1:31" ht="83.25" customHeight="1" x14ac:dyDescent="0.3">
      <c r="A182" s="224"/>
      <c r="B182" s="1092"/>
      <c r="C182" s="2297" t="s">
        <v>225</v>
      </c>
      <c r="D182" s="2280" t="s">
        <v>226</v>
      </c>
      <c r="E182" s="1974">
        <f>25225</f>
        <v>25225</v>
      </c>
      <c r="F182" s="1975">
        <v>32535</v>
      </c>
      <c r="G182" s="1975"/>
      <c r="H182" s="1976">
        <f t="shared" si="122"/>
        <v>57760</v>
      </c>
      <c r="I182" s="2022" t="s">
        <v>339</v>
      </c>
      <c r="J182" s="1978" t="s">
        <v>1007</v>
      </c>
      <c r="K182" s="1979">
        <v>6</v>
      </c>
      <c r="L182" s="1978">
        <f>H182/6</f>
        <v>9626.6666666666661</v>
      </c>
      <c r="M182" s="1978">
        <f t="shared" si="123"/>
        <v>8506.3768372065624</v>
      </c>
      <c r="N182" s="1978">
        <f t="shared" si="124"/>
        <v>57760</v>
      </c>
      <c r="O182" s="1980">
        <f t="shared" si="125"/>
        <v>51038.261023239378</v>
      </c>
      <c r="P182" s="1981">
        <v>44500</v>
      </c>
      <c r="Q182" s="1982"/>
      <c r="R182" s="1982"/>
      <c r="S182" s="1982"/>
      <c r="T182" s="1961">
        <f t="shared" si="126"/>
        <v>44500</v>
      </c>
      <c r="U182" s="1983" t="s">
        <v>619</v>
      </c>
      <c r="V182" s="1984">
        <f t="shared" si="137"/>
        <v>44500</v>
      </c>
      <c r="W182" s="1985">
        <f t="shared" si="127"/>
        <v>40090.090090090089</v>
      </c>
      <c r="X182" s="1984">
        <f t="shared" si="128"/>
        <v>-13260</v>
      </c>
      <c r="Y182" s="1985">
        <f t="shared" si="129"/>
        <v>-10948.170933149289</v>
      </c>
      <c r="Z182" s="1986" t="s">
        <v>1007</v>
      </c>
      <c r="AA182" s="1979">
        <v>6</v>
      </c>
      <c r="AB182" s="1978">
        <f>V182/6</f>
        <v>7416.666666666667</v>
      </c>
      <c r="AC182" s="1978">
        <f t="shared" si="130"/>
        <v>6553.5624871137825</v>
      </c>
      <c r="AD182" s="1978">
        <f t="shared" si="131"/>
        <v>44500</v>
      </c>
      <c r="AE182" s="1978">
        <f t="shared" si="132"/>
        <v>39321.374922682691</v>
      </c>
    </row>
    <row r="183" spans="1:31" ht="75.75" customHeight="1" x14ac:dyDescent="0.3">
      <c r="A183" s="224"/>
      <c r="B183" s="1092"/>
      <c r="C183" s="2297" t="s">
        <v>227</v>
      </c>
      <c r="D183" s="2280" t="s">
        <v>228</v>
      </c>
      <c r="E183" s="1974">
        <f>4000</f>
        <v>4000</v>
      </c>
      <c r="F183" s="1975"/>
      <c r="G183" s="1975"/>
      <c r="H183" s="1976">
        <f t="shared" si="122"/>
        <v>4000</v>
      </c>
      <c r="I183" s="2022" t="s">
        <v>229</v>
      </c>
      <c r="J183" s="1978" t="s">
        <v>1001</v>
      </c>
      <c r="K183" s="1979">
        <v>10</v>
      </c>
      <c r="L183" s="1978">
        <f>H183/10</f>
        <v>400</v>
      </c>
      <c r="M183" s="1978">
        <f t="shared" si="123"/>
        <v>353.45056110276579</v>
      </c>
      <c r="N183" s="1978">
        <f t="shared" si="124"/>
        <v>4000</v>
      </c>
      <c r="O183" s="1980">
        <f t="shared" si="125"/>
        <v>3534.5056110276578</v>
      </c>
      <c r="P183" s="1981"/>
      <c r="Q183" s="1982">
        <v>6100</v>
      </c>
      <c r="R183" s="1982">
        <v>6000</v>
      </c>
      <c r="S183" s="1982"/>
      <c r="T183" s="1961">
        <f t="shared" si="126"/>
        <v>12100</v>
      </c>
      <c r="U183" s="1983" t="s">
        <v>620</v>
      </c>
      <c r="V183" s="1984">
        <f t="shared" si="137"/>
        <v>12100</v>
      </c>
      <c r="W183" s="1985">
        <f t="shared" si="127"/>
        <v>10900.900900900901</v>
      </c>
      <c r="X183" s="1984">
        <f t="shared" si="128"/>
        <v>8100</v>
      </c>
      <c r="Y183" s="1985">
        <f t="shared" si="129"/>
        <v>7366.3952898732423</v>
      </c>
      <c r="Z183" s="1986" t="s">
        <v>1001</v>
      </c>
      <c r="AA183" s="1979">
        <v>30</v>
      </c>
      <c r="AB183" s="1978">
        <f>12100/30</f>
        <v>403.33333333333331</v>
      </c>
      <c r="AC183" s="1978">
        <f t="shared" si="130"/>
        <v>356.39598244528878</v>
      </c>
      <c r="AD183" s="1978">
        <f t="shared" si="131"/>
        <v>12100</v>
      </c>
      <c r="AE183" s="1978">
        <f t="shared" si="132"/>
        <v>10691.879473358664</v>
      </c>
    </row>
    <row r="184" spans="1:31" ht="103.5" customHeight="1" x14ac:dyDescent="0.3">
      <c r="A184" s="224"/>
      <c r="B184" s="1092"/>
      <c r="C184" s="2241" t="s">
        <v>230</v>
      </c>
      <c r="D184" s="2247" t="s">
        <v>741</v>
      </c>
      <c r="E184" s="1974">
        <f>24500</f>
        <v>24500</v>
      </c>
      <c r="F184" s="1975">
        <f>29400</f>
        <v>29400</v>
      </c>
      <c r="G184" s="1975">
        <v>2500</v>
      </c>
      <c r="H184" s="1976">
        <f t="shared" si="122"/>
        <v>56400</v>
      </c>
      <c r="I184" s="2022" t="s">
        <v>232</v>
      </c>
      <c r="J184" s="1978" t="s">
        <v>1019</v>
      </c>
      <c r="K184" s="1979">
        <v>3</v>
      </c>
      <c r="L184" s="1978">
        <f>H184/3</f>
        <v>18800</v>
      </c>
      <c r="M184" s="1978">
        <f t="shared" si="123"/>
        <v>16612.176371829992</v>
      </c>
      <c r="N184" s="1978">
        <f t="shared" si="124"/>
        <v>56400</v>
      </c>
      <c r="O184" s="1980">
        <f t="shared" si="125"/>
        <v>49836.529115489975</v>
      </c>
      <c r="P184" s="1981">
        <f>53100</f>
        <v>53100</v>
      </c>
      <c r="Q184" s="1982">
        <f>47100</f>
        <v>47100</v>
      </c>
      <c r="R184" s="1982">
        <f>30200</f>
        <v>30200</v>
      </c>
      <c r="S184" s="1982"/>
      <c r="T184" s="1961">
        <f t="shared" si="126"/>
        <v>130400</v>
      </c>
      <c r="U184" s="1983" t="s">
        <v>781</v>
      </c>
      <c r="V184" s="1984">
        <f t="shared" si="137"/>
        <v>130400</v>
      </c>
      <c r="W184" s="1985">
        <f t="shared" si="127"/>
        <v>117477.47747747747</v>
      </c>
      <c r="X184" s="1984">
        <f t="shared" si="128"/>
        <v>74000</v>
      </c>
      <c r="Y184" s="1985">
        <f t="shared" si="129"/>
        <v>67640.948361987495</v>
      </c>
      <c r="Z184" s="1986" t="s">
        <v>1019</v>
      </c>
      <c r="AA184" s="1979">
        <v>6</v>
      </c>
      <c r="AB184" s="1978">
        <f>V184/6</f>
        <v>21733.333333333332</v>
      </c>
      <c r="AC184" s="1978">
        <f t="shared" si="130"/>
        <v>19204.147153250273</v>
      </c>
      <c r="AD184" s="1978">
        <f t="shared" si="131"/>
        <v>130400</v>
      </c>
      <c r="AE184" s="1978">
        <f t="shared" si="132"/>
        <v>115224.88291950164</v>
      </c>
    </row>
    <row r="185" spans="1:31" ht="71.25" customHeight="1" x14ac:dyDescent="0.3">
      <c r="A185" s="224"/>
      <c r="B185" s="1092"/>
      <c r="C185" s="2297" t="s">
        <v>233</v>
      </c>
      <c r="D185" s="2280" t="s">
        <v>563</v>
      </c>
      <c r="E185" s="1974">
        <f>20100</f>
        <v>20100</v>
      </c>
      <c r="F185" s="1975">
        <f>22500</f>
        <v>22500</v>
      </c>
      <c r="G185" s="1975"/>
      <c r="H185" s="1976">
        <f t="shared" si="122"/>
        <v>42600</v>
      </c>
      <c r="I185" s="2022" t="s">
        <v>234</v>
      </c>
      <c r="J185" s="1978" t="s">
        <v>1007</v>
      </c>
      <c r="K185" s="1979">
        <v>5</v>
      </c>
      <c r="L185" s="1978">
        <f t="shared" si="133"/>
        <v>8520</v>
      </c>
      <c r="M185" s="1978">
        <f t="shared" si="123"/>
        <v>7528.4969514889108</v>
      </c>
      <c r="N185" s="1978">
        <f t="shared" si="124"/>
        <v>42600</v>
      </c>
      <c r="O185" s="1980">
        <f t="shared" si="125"/>
        <v>37642.484757444552</v>
      </c>
      <c r="P185" s="1981">
        <v>20000</v>
      </c>
      <c r="Q185" s="1982">
        <v>40100</v>
      </c>
      <c r="R185" s="1982"/>
      <c r="S185" s="1982"/>
      <c r="T185" s="1961">
        <f t="shared" si="126"/>
        <v>60100</v>
      </c>
      <c r="U185" s="1983" t="s">
        <v>621</v>
      </c>
      <c r="V185" s="1984">
        <f t="shared" si="137"/>
        <v>60100</v>
      </c>
      <c r="W185" s="1985">
        <f t="shared" si="127"/>
        <v>54144.144144144142</v>
      </c>
      <c r="X185" s="1984">
        <f t="shared" si="128"/>
        <v>17500</v>
      </c>
      <c r="Y185" s="1985">
        <f t="shared" si="129"/>
        <v>16501.65938669959</v>
      </c>
      <c r="Z185" s="1986" t="s">
        <v>1007</v>
      </c>
      <c r="AA185" s="1979">
        <v>6</v>
      </c>
      <c r="AB185" s="1978">
        <f>V185/6</f>
        <v>10016.666666666666</v>
      </c>
      <c r="AC185" s="1978">
        <f t="shared" si="130"/>
        <v>8850.9911342817595</v>
      </c>
      <c r="AD185" s="1978">
        <f t="shared" si="131"/>
        <v>60100</v>
      </c>
      <c r="AE185" s="1978">
        <f t="shared" si="132"/>
        <v>53105.946805690561</v>
      </c>
    </row>
    <row r="186" spans="1:31" ht="58.5" customHeight="1" x14ac:dyDescent="0.3">
      <c r="A186" s="224"/>
      <c r="B186" s="1092"/>
      <c r="C186" s="2297" t="s">
        <v>531</v>
      </c>
      <c r="D186" s="2247" t="s">
        <v>532</v>
      </c>
      <c r="E186" s="1974"/>
      <c r="F186" s="1975"/>
      <c r="G186" s="1975"/>
      <c r="H186" s="1976">
        <f t="shared" si="122"/>
        <v>0</v>
      </c>
      <c r="I186" s="2023"/>
      <c r="J186" s="1978"/>
      <c r="K186" s="1979">
        <v>0</v>
      </c>
      <c r="L186" s="1978">
        <f t="shared" si="133"/>
        <v>0</v>
      </c>
      <c r="M186" s="1978">
        <f t="shared" si="123"/>
        <v>0</v>
      </c>
      <c r="N186" s="1978">
        <f t="shared" si="124"/>
        <v>0</v>
      </c>
      <c r="O186" s="1980">
        <f t="shared" si="125"/>
        <v>0</v>
      </c>
      <c r="P186" s="1981"/>
      <c r="Q186" s="1982"/>
      <c r="R186" s="1982">
        <v>0</v>
      </c>
      <c r="S186" s="1982"/>
      <c r="T186" s="1961">
        <f t="shared" si="126"/>
        <v>0</v>
      </c>
      <c r="U186" s="1983" t="s">
        <v>691</v>
      </c>
      <c r="V186" s="1984">
        <f t="shared" si="137"/>
        <v>0</v>
      </c>
      <c r="W186" s="1985">
        <f t="shared" si="127"/>
        <v>0</v>
      </c>
      <c r="X186" s="1984">
        <f t="shared" si="128"/>
        <v>0</v>
      </c>
      <c r="Y186" s="1985">
        <f t="shared" si="129"/>
        <v>0</v>
      </c>
      <c r="Z186" s="1986"/>
      <c r="AA186" s="1979"/>
      <c r="AB186" s="1978"/>
      <c r="AC186" s="1978"/>
      <c r="AD186" s="1978"/>
      <c r="AE186" s="1978">
        <f t="shared" si="132"/>
        <v>0</v>
      </c>
    </row>
    <row r="187" spans="1:31" ht="67.5" customHeight="1" x14ac:dyDescent="0.3">
      <c r="A187" s="224"/>
      <c r="B187" s="1092"/>
      <c r="C187" s="2241" t="s">
        <v>694</v>
      </c>
      <c r="D187" s="2247" t="s">
        <v>693</v>
      </c>
      <c r="E187" s="1974"/>
      <c r="F187" s="1975"/>
      <c r="G187" s="1975"/>
      <c r="H187" s="1976">
        <f t="shared" si="122"/>
        <v>0</v>
      </c>
      <c r="I187" s="2023"/>
      <c r="J187" s="1978"/>
      <c r="K187" s="1979">
        <v>0</v>
      </c>
      <c r="L187" s="1978">
        <f t="shared" si="133"/>
        <v>0</v>
      </c>
      <c r="M187" s="1978">
        <f t="shared" si="123"/>
        <v>0</v>
      </c>
      <c r="N187" s="1978">
        <f t="shared" si="124"/>
        <v>0</v>
      </c>
      <c r="O187" s="1980">
        <f t="shared" si="125"/>
        <v>0</v>
      </c>
      <c r="P187" s="1981"/>
      <c r="Q187" s="1982"/>
      <c r="R187" s="1982"/>
      <c r="S187" s="1982">
        <f>17300</f>
        <v>17300</v>
      </c>
      <c r="T187" s="1961">
        <f>SUM(P187:S187)</f>
        <v>17300</v>
      </c>
      <c r="U187" s="1983" t="s">
        <v>782</v>
      </c>
      <c r="V187" s="1984">
        <f t="shared" si="137"/>
        <v>17300</v>
      </c>
      <c r="W187" s="1985">
        <f t="shared" si="127"/>
        <v>15585.585585585584</v>
      </c>
      <c r="X187" s="1984">
        <f t="shared" si="128"/>
        <v>17300</v>
      </c>
      <c r="Y187" s="1985">
        <f t="shared" si="129"/>
        <v>15585.585585585584</v>
      </c>
      <c r="Z187" s="1986" t="s">
        <v>1008</v>
      </c>
      <c r="AA187" s="1979">
        <v>15</v>
      </c>
      <c r="AB187" s="1978">
        <f>V187/15</f>
        <v>1153.3333333333333</v>
      </c>
      <c r="AC187" s="1978">
        <f t="shared" ref="AC187" si="138">AB187/1.1317</f>
        <v>1019.1157845129745</v>
      </c>
      <c r="AD187" s="1978">
        <f t="shared" ref="AD187" si="139">AA187*AB187</f>
        <v>17300</v>
      </c>
      <c r="AE187" s="1978">
        <f t="shared" si="132"/>
        <v>15286.73676769462</v>
      </c>
    </row>
    <row r="188" spans="1:31" ht="62.25" customHeight="1" x14ac:dyDescent="0.3">
      <c r="A188" s="224"/>
      <c r="B188" s="1092"/>
      <c r="C188" s="2241" t="s">
        <v>696</v>
      </c>
      <c r="D188" s="2247" t="s">
        <v>695</v>
      </c>
      <c r="E188" s="1974"/>
      <c r="F188" s="1975"/>
      <c r="G188" s="1975"/>
      <c r="H188" s="1976">
        <f t="shared" si="122"/>
        <v>0</v>
      </c>
      <c r="I188" s="2063"/>
      <c r="J188" s="1978"/>
      <c r="K188" s="1979">
        <v>0</v>
      </c>
      <c r="L188" s="1978">
        <f t="shared" si="133"/>
        <v>0</v>
      </c>
      <c r="M188" s="1978">
        <f t="shared" si="123"/>
        <v>0</v>
      </c>
      <c r="N188" s="1978">
        <f t="shared" si="124"/>
        <v>0</v>
      </c>
      <c r="O188" s="1980">
        <f t="shared" si="125"/>
        <v>0</v>
      </c>
      <c r="P188" s="1981"/>
      <c r="Q188" s="1982"/>
      <c r="R188" s="1982"/>
      <c r="S188" s="1982"/>
      <c r="T188" s="1961">
        <f t="shared" ref="T188" si="140">SUM(P188:S188)</f>
        <v>0</v>
      </c>
      <c r="U188" s="1983" t="s">
        <v>691</v>
      </c>
      <c r="V188" s="1984">
        <f t="shared" si="137"/>
        <v>0</v>
      </c>
      <c r="W188" s="1985">
        <f t="shared" si="127"/>
        <v>0</v>
      </c>
      <c r="X188" s="1984">
        <f t="shared" ref="X188:X206" si="141">V188-N188</f>
        <v>0</v>
      </c>
      <c r="Y188" s="1985">
        <f t="shared" ref="Y188:Y206" si="142">W188-O188</f>
        <v>0</v>
      </c>
      <c r="Z188" s="1986"/>
      <c r="AA188" s="1979"/>
      <c r="AB188" s="1978"/>
      <c r="AC188" s="1978"/>
      <c r="AD188" s="1978"/>
      <c r="AE188" s="1978">
        <f t="shared" si="132"/>
        <v>0</v>
      </c>
    </row>
    <row r="189" spans="1:31" ht="68.25" customHeight="1" x14ac:dyDescent="0.3">
      <c r="A189" s="224"/>
      <c r="B189" s="1092"/>
      <c r="C189" s="2241" t="s">
        <v>235</v>
      </c>
      <c r="D189" s="2247" t="s">
        <v>740</v>
      </c>
      <c r="E189" s="1974">
        <f>28595</f>
        <v>28595</v>
      </c>
      <c r="F189" s="1975"/>
      <c r="G189" s="1975"/>
      <c r="H189" s="1976">
        <f t="shared" si="122"/>
        <v>28595</v>
      </c>
      <c r="I189" s="2023" t="s">
        <v>237</v>
      </c>
      <c r="J189" s="1978" t="s">
        <v>993</v>
      </c>
      <c r="K189" s="1979">
        <v>45</v>
      </c>
      <c r="L189" s="1978">
        <f>H189/45</f>
        <v>635.44444444444446</v>
      </c>
      <c r="M189" s="1978">
        <f t="shared" si="123"/>
        <v>561.49548859631045</v>
      </c>
      <c r="N189" s="1978">
        <f t="shared" si="124"/>
        <v>28595</v>
      </c>
      <c r="O189" s="1980">
        <f t="shared" si="125"/>
        <v>25267.296986833968</v>
      </c>
      <c r="P189" s="1981">
        <f>34300</f>
        <v>34300</v>
      </c>
      <c r="Q189" s="1982"/>
      <c r="R189" s="1982"/>
      <c r="S189" s="1982"/>
      <c r="T189" s="1961">
        <f t="shared" si="126"/>
        <v>34300</v>
      </c>
      <c r="U189" s="1983" t="s">
        <v>622</v>
      </c>
      <c r="V189" s="1984">
        <f t="shared" si="137"/>
        <v>34300</v>
      </c>
      <c r="W189" s="1985">
        <f t="shared" si="127"/>
        <v>30900.900900900899</v>
      </c>
      <c r="X189" s="1984">
        <f t="shared" si="141"/>
        <v>5705</v>
      </c>
      <c r="Y189" s="1985">
        <f t="shared" si="142"/>
        <v>5633.6039140669309</v>
      </c>
      <c r="Z189" s="1986" t="s">
        <v>993</v>
      </c>
      <c r="AA189" s="1979">
        <v>45</v>
      </c>
      <c r="AB189" s="1978">
        <f>V189/45</f>
        <v>762.22222222222217</v>
      </c>
      <c r="AC189" s="1978">
        <f t="shared" si="130"/>
        <v>673.51968032360367</v>
      </c>
      <c r="AD189" s="1978">
        <f t="shared" si="131"/>
        <v>34300</v>
      </c>
      <c r="AE189" s="1978">
        <f t="shared" si="132"/>
        <v>30308.385614562165</v>
      </c>
    </row>
    <row r="190" spans="1:31" ht="67.5" customHeight="1" x14ac:dyDescent="0.3">
      <c r="A190" s="224"/>
      <c r="B190" s="1092"/>
      <c r="C190" s="2297" t="s">
        <v>238</v>
      </c>
      <c r="D190" s="2312" t="s">
        <v>239</v>
      </c>
      <c r="E190" s="1974">
        <f>20000</f>
        <v>20000</v>
      </c>
      <c r="F190" s="2064"/>
      <c r="G190" s="2064"/>
      <c r="H190" s="1976">
        <f t="shared" si="122"/>
        <v>20000</v>
      </c>
      <c r="I190" s="2023" t="s">
        <v>240</v>
      </c>
      <c r="J190" s="1978" t="s">
        <v>1008</v>
      </c>
      <c r="K190" s="1979">
        <v>2</v>
      </c>
      <c r="L190" s="1978">
        <f>H190/2</f>
        <v>10000</v>
      </c>
      <c r="M190" s="1978">
        <f t="shared" si="123"/>
        <v>8836.2640275691447</v>
      </c>
      <c r="N190" s="1978">
        <f t="shared" si="124"/>
        <v>20000</v>
      </c>
      <c r="O190" s="1980">
        <f t="shared" si="125"/>
        <v>17672.528055138289</v>
      </c>
      <c r="P190" s="1981">
        <f>28900</f>
        <v>28900</v>
      </c>
      <c r="Q190" s="1982"/>
      <c r="R190" s="1982"/>
      <c r="S190" s="1982"/>
      <c r="T190" s="1961">
        <f t="shared" si="126"/>
        <v>28900</v>
      </c>
      <c r="U190" s="1983" t="s">
        <v>623</v>
      </c>
      <c r="V190" s="1984">
        <f t="shared" si="137"/>
        <v>28900</v>
      </c>
      <c r="W190" s="1985">
        <f t="shared" si="127"/>
        <v>26036.036036036036</v>
      </c>
      <c r="X190" s="1984">
        <f t="shared" si="141"/>
        <v>8900</v>
      </c>
      <c r="Y190" s="1985">
        <f t="shared" si="142"/>
        <v>8363.5079808977462</v>
      </c>
      <c r="Z190" s="1986" t="s">
        <v>1008</v>
      </c>
      <c r="AA190" s="1979">
        <v>2</v>
      </c>
      <c r="AB190" s="1978">
        <f>V190/2</f>
        <v>14450</v>
      </c>
      <c r="AC190" s="1978">
        <f t="shared" si="130"/>
        <v>12768.401519837413</v>
      </c>
      <c r="AD190" s="1978">
        <f t="shared" si="131"/>
        <v>28900</v>
      </c>
      <c r="AE190" s="1978">
        <f t="shared" si="132"/>
        <v>25536.803039674825</v>
      </c>
    </row>
    <row r="191" spans="1:31" ht="52.5" customHeight="1" x14ac:dyDescent="0.3">
      <c r="A191" s="224"/>
      <c r="B191" s="1092"/>
      <c r="C191" s="2297" t="s">
        <v>564</v>
      </c>
      <c r="D191" s="2312" t="s">
        <v>241</v>
      </c>
      <c r="E191" s="1974">
        <f>700</f>
        <v>700</v>
      </c>
      <c r="F191" s="2064">
        <f>700</f>
        <v>700</v>
      </c>
      <c r="G191" s="2064"/>
      <c r="H191" s="1976">
        <f t="shared" si="122"/>
        <v>1400</v>
      </c>
      <c r="I191" s="2063" t="s">
        <v>242</v>
      </c>
      <c r="J191" s="1978" t="s">
        <v>1008</v>
      </c>
      <c r="K191" s="1979">
        <v>4</v>
      </c>
      <c r="L191" s="1978">
        <f>H191/4</f>
        <v>350</v>
      </c>
      <c r="M191" s="1978">
        <f t="shared" si="123"/>
        <v>309.26924096492007</v>
      </c>
      <c r="N191" s="1978">
        <f t="shared" si="124"/>
        <v>1400</v>
      </c>
      <c r="O191" s="1980">
        <f t="shared" si="125"/>
        <v>1237.0769638596803</v>
      </c>
      <c r="P191" s="1981"/>
      <c r="Q191" s="1982"/>
      <c r="R191" s="1982"/>
      <c r="S191" s="1982"/>
      <c r="T191" s="1961"/>
      <c r="U191" s="1983"/>
      <c r="V191" s="1984"/>
      <c r="W191" s="1985"/>
      <c r="X191" s="1984">
        <f t="shared" si="141"/>
        <v>-1400</v>
      </c>
      <c r="Y191" s="1985">
        <f t="shared" si="142"/>
        <v>-1237.0769638596803</v>
      </c>
      <c r="Z191" s="1986"/>
      <c r="AA191" s="1979"/>
      <c r="AB191" s="1978"/>
      <c r="AC191" s="1978"/>
      <c r="AD191" s="1978"/>
      <c r="AE191" s="1978">
        <f t="shared" si="132"/>
        <v>0</v>
      </c>
    </row>
    <row r="192" spans="1:31" ht="56.25" customHeight="1" x14ac:dyDescent="0.3">
      <c r="A192" s="224"/>
      <c r="B192" s="1092"/>
      <c r="C192" s="2241" t="s">
        <v>243</v>
      </c>
      <c r="D192" s="2313" t="s">
        <v>565</v>
      </c>
      <c r="E192" s="2065">
        <f>5000</f>
        <v>5000</v>
      </c>
      <c r="F192" s="2064">
        <f>5000</f>
        <v>5000</v>
      </c>
      <c r="G192" s="2064"/>
      <c r="H192" s="1976">
        <f t="shared" si="122"/>
        <v>10000</v>
      </c>
      <c r="I192" s="2063" t="s">
        <v>244</v>
      </c>
      <c r="J192" s="1978" t="s">
        <v>1008</v>
      </c>
      <c r="K192" s="1979">
        <v>4</v>
      </c>
      <c r="L192" s="1978">
        <f>H192/4</f>
        <v>2500</v>
      </c>
      <c r="M192" s="1978">
        <f t="shared" si="123"/>
        <v>2209.0660068922862</v>
      </c>
      <c r="N192" s="1978">
        <f t="shared" si="124"/>
        <v>10000</v>
      </c>
      <c r="O192" s="1980">
        <f t="shared" si="125"/>
        <v>8836.2640275691447</v>
      </c>
      <c r="P192" s="1981">
        <v>4400</v>
      </c>
      <c r="Q192" s="1982"/>
      <c r="R192" s="1982"/>
      <c r="S192" s="1982"/>
      <c r="T192" s="1961">
        <f t="shared" si="126"/>
        <v>4400</v>
      </c>
      <c r="U192" s="2066" t="s">
        <v>783</v>
      </c>
      <c r="V192" s="1984">
        <f>P192+Q192+R192+S192</f>
        <v>4400</v>
      </c>
      <c r="W192" s="1985">
        <f t="shared" si="127"/>
        <v>3963.9639639639636</v>
      </c>
      <c r="X192" s="1984">
        <f t="shared" si="141"/>
        <v>-5600</v>
      </c>
      <c r="Y192" s="1985">
        <f t="shared" si="142"/>
        <v>-4872.3000636051811</v>
      </c>
      <c r="Z192" s="1986" t="s">
        <v>1008</v>
      </c>
      <c r="AA192" s="1979">
        <v>2</v>
      </c>
      <c r="AB192" s="1978">
        <f>V192/2</f>
        <v>2200</v>
      </c>
      <c r="AC192" s="1978">
        <f t="shared" si="130"/>
        <v>1943.9780860652118</v>
      </c>
      <c r="AD192" s="1978">
        <f t="shared" si="131"/>
        <v>4400</v>
      </c>
      <c r="AE192" s="1978">
        <f t="shared" si="132"/>
        <v>3887.9561721304235</v>
      </c>
    </row>
    <row r="193" spans="1:31" ht="52.5" customHeight="1" x14ac:dyDescent="0.3">
      <c r="A193" s="224"/>
      <c r="B193" s="1092"/>
      <c r="C193" s="2241" t="s">
        <v>566</v>
      </c>
      <c r="D193" s="2313" t="s">
        <v>245</v>
      </c>
      <c r="E193" s="2065">
        <f>2500</f>
        <v>2500</v>
      </c>
      <c r="F193" s="2064"/>
      <c r="G193" s="2064"/>
      <c r="H193" s="1976">
        <f t="shared" si="122"/>
        <v>2500</v>
      </c>
      <c r="I193" s="2063" t="s">
        <v>246</v>
      </c>
      <c r="J193" s="1978" t="s">
        <v>1001</v>
      </c>
      <c r="K193" s="1979">
        <v>5</v>
      </c>
      <c r="L193" s="1978">
        <f>H193/5</f>
        <v>500</v>
      </c>
      <c r="M193" s="1978">
        <f t="shared" si="123"/>
        <v>441.81320137845722</v>
      </c>
      <c r="N193" s="1978">
        <f t="shared" si="124"/>
        <v>2500</v>
      </c>
      <c r="O193" s="1980">
        <f t="shared" si="125"/>
        <v>2209.0660068922862</v>
      </c>
      <c r="P193" s="1981"/>
      <c r="Q193" s="1982"/>
      <c r="R193" s="1982"/>
      <c r="S193" s="1982"/>
      <c r="T193" s="1961"/>
      <c r="U193" s="2066"/>
      <c r="V193" s="1984"/>
      <c r="W193" s="1985"/>
      <c r="X193" s="1984">
        <f t="shared" si="141"/>
        <v>-2500</v>
      </c>
      <c r="Y193" s="1985">
        <f t="shared" si="142"/>
        <v>-2209.0660068922862</v>
      </c>
      <c r="Z193" s="1986"/>
      <c r="AA193" s="1979"/>
      <c r="AB193" s="1978"/>
      <c r="AC193" s="1978"/>
      <c r="AD193" s="1978"/>
      <c r="AE193" s="1978">
        <f t="shared" si="132"/>
        <v>0</v>
      </c>
    </row>
    <row r="194" spans="1:31" ht="57.75" customHeight="1" x14ac:dyDescent="0.3">
      <c r="A194" s="224"/>
      <c r="B194" s="1092"/>
      <c r="C194" s="2297" t="s">
        <v>247</v>
      </c>
      <c r="D194" s="2312" t="s">
        <v>248</v>
      </c>
      <c r="E194" s="2065">
        <f>850</f>
        <v>850</v>
      </c>
      <c r="F194" s="2064"/>
      <c r="G194" s="2064"/>
      <c r="H194" s="1976">
        <f t="shared" si="122"/>
        <v>850</v>
      </c>
      <c r="I194" s="2063" t="s">
        <v>249</v>
      </c>
      <c r="J194" s="1978" t="s">
        <v>1008</v>
      </c>
      <c r="K194" s="1979">
        <v>2</v>
      </c>
      <c r="L194" s="1978">
        <f>H194/2</f>
        <v>425</v>
      </c>
      <c r="M194" s="1978">
        <f t="shared" si="123"/>
        <v>375.54122117168862</v>
      </c>
      <c r="N194" s="1978">
        <f t="shared" si="124"/>
        <v>850</v>
      </c>
      <c r="O194" s="1980">
        <f t="shared" si="125"/>
        <v>751.08244234337724</v>
      </c>
      <c r="P194" s="1981">
        <v>1551</v>
      </c>
      <c r="Q194" s="1982"/>
      <c r="R194" s="1982"/>
      <c r="S194" s="1982"/>
      <c r="T194" s="1961">
        <f t="shared" si="126"/>
        <v>1551</v>
      </c>
      <c r="U194" s="2066" t="s">
        <v>624</v>
      </c>
      <c r="V194" s="1984">
        <f t="shared" ref="V194:V199" si="143">P194+Q194+R194+S194</f>
        <v>1551</v>
      </c>
      <c r="W194" s="1985">
        <f t="shared" si="127"/>
        <v>1397.2972972972971</v>
      </c>
      <c r="X194" s="1984">
        <f t="shared" si="141"/>
        <v>701</v>
      </c>
      <c r="Y194" s="1985">
        <f t="shared" si="142"/>
        <v>646.21485495391983</v>
      </c>
      <c r="Z194" s="1986" t="s">
        <v>1008</v>
      </c>
      <c r="AA194" s="1979">
        <v>2</v>
      </c>
      <c r="AB194" s="1978">
        <f>V194/2</f>
        <v>775.5</v>
      </c>
      <c r="AC194" s="1978">
        <f t="shared" si="130"/>
        <v>685.25227533798716</v>
      </c>
      <c r="AD194" s="1978">
        <f t="shared" si="131"/>
        <v>1551</v>
      </c>
      <c r="AE194" s="1978">
        <f t="shared" si="132"/>
        <v>1370.5045506759743</v>
      </c>
    </row>
    <row r="195" spans="1:31" ht="51.75" customHeight="1" x14ac:dyDescent="0.3">
      <c r="A195" s="224"/>
      <c r="B195" s="1303"/>
      <c r="C195" s="2241" t="s">
        <v>250</v>
      </c>
      <c r="D195" s="2313" t="s">
        <v>567</v>
      </c>
      <c r="E195" s="2065">
        <f>900</f>
        <v>900</v>
      </c>
      <c r="F195" s="2064"/>
      <c r="G195" s="2064"/>
      <c r="H195" s="1976">
        <f t="shared" si="122"/>
        <v>900</v>
      </c>
      <c r="I195" s="2063" t="s">
        <v>251</v>
      </c>
      <c r="J195" s="1978" t="s">
        <v>1020</v>
      </c>
      <c r="K195" s="1979">
        <v>18</v>
      </c>
      <c r="L195" s="1978">
        <f>H195/18</f>
        <v>50</v>
      </c>
      <c r="M195" s="1978">
        <f t="shared" si="123"/>
        <v>44.181320137845724</v>
      </c>
      <c r="N195" s="1978">
        <f t="shared" si="124"/>
        <v>900</v>
      </c>
      <c r="O195" s="1980">
        <f t="shared" si="125"/>
        <v>795.26376248122301</v>
      </c>
      <c r="P195" s="1981">
        <v>820</v>
      </c>
      <c r="Q195" s="1982"/>
      <c r="R195" s="1982"/>
      <c r="S195" s="1982"/>
      <c r="T195" s="1961">
        <f t="shared" si="126"/>
        <v>820</v>
      </c>
      <c r="U195" s="2066" t="s">
        <v>625</v>
      </c>
      <c r="V195" s="1984">
        <f t="shared" si="143"/>
        <v>820</v>
      </c>
      <c r="W195" s="1985">
        <f t="shared" si="127"/>
        <v>738.73873873873868</v>
      </c>
      <c r="X195" s="1984">
        <f t="shared" si="141"/>
        <v>-80</v>
      </c>
      <c r="Y195" s="1985">
        <f t="shared" si="142"/>
        <v>-56.525023742484336</v>
      </c>
      <c r="Z195" s="1986" t="s">
        <v>1020</v>
      </c>
      <c r="AA195" s="1979">
        <v>15</v>
      </c>
      <c r="AB195" s="1978">
        <f>820/15</f>
        <v>54.666666666666664</v>
      </c>
      <c r="AC195" s="1978">
        <f t="shared" si="130"/>
        <v>48.304910017377985</v>
      </c>
      <c r="AD195" s="1978">
        <f t="shared" si="131"/>
        <v>820</v>
      </c>
      <c r="AE195" s="1978">
        <f t="shared" si="132"/>
        <v>724.57365026066987</v>
      </c>
    </row>
    <row r="196" spans="1:31" ht="66" customHeight="1" x14ac:dyDescent="0.3">
      <c r="A196" s="224"/>
      <c r="B196" s="1092"/>
      <c r="C196" s="2297" t="s">
        <v>252</v>
      </c>
      <c r="D196" s="2312" t="s">
        <v>626</v>
      </c>
      <c r="E196" s="2065">
        <f>2350</f>
        <v>2350</v>
      </c>
      <c r="F196" s="2064">
        <f>2350</f>
        <v>2350</v>
      </c>
      <c r="G196" s="2064">
        <f>2350</f>
        <v>2350</v>
      </c>
      <c r="H196" s="1976">
        <f t="shared" si="122"/>
        <v>7050</v>
      </c>
      <c r="I196" s="2063" t="s">
        <v>253</v>
      </c>
      <c r="J196" s="1978" t="s">
        <v>1008</v>
      </c>
      <c r="K196" s="1979">
        <v>3</v>
      </c>
      <c r="L196" s="1978">
        <f>H196/3</f>
        <v>2350</v>
      </c>
      <c r="M196" s="1978">
        <f t="shared" si="123"/>
        <v>2076.522046478749</v>
      </c>
      <c r="N196" s="1978">
        <f t="shared" si="124"/>
        <v>7050</v>
      </c>
      <c r="O196" s="1980">
        <f t="shared" si="125"/>
        <v>6229.5661394362469</v>
      </c>
      <c r="P196" s="1981">
        <v>1900</v>
      </c>
      <c r="Q196" s="1982"/>
      <c r="R196" s="1982">
        <v>5400</v>
      </c>
      <c r="S196" s="1982"/>
      <c r="T196" s="1961">
        <f t="shared" si="126"/>
        <v>7300</v>
      </c>
      <c r="U196" s="2066" t="s">
        <v>627</v>
      </c>
      <c r="V196" s="1984">
        <f t="shared" si="143"/>
        <v>7300</v>
      </c>
      <c r="W196" s="1985">
        <f t="shared" si="127"/>
        <v>6576.5765765765764</v>
      </c>
      <c r="X196" s="1984">
        <f t="shared" si="141"/>
        <v>250</v>
      </c>
      <c r="Y196" s="1985">
        <f t="shared" si="142"/>
        <v>347.01043714032949</v>
      </c>
      <c r="Z196" s="1986" t="s">
        <v>1008</v>
      </c>
      <c r="AA196" s="1979">
        <v>2</v>
      </c>
      <c r="AB196" s="1978">
        <f>V196/2</f>
        <v>3650</v>
      </c>
      <c r="AC196" s="1978">
        <f t="shared" si="130"/>
        <v>3225.2363700627375</v>
      </c>
      <c r="AD196" s="1978">
        <f t="shared" si="131"/>
        <v>7300</v>
      </c>
      <c r="AE196" s="1978">
        <f t="shared" si="132"/>
        <v>6450.472740125475</v>
      </c>
    </row>
    <row r="197" spans="1:31" ht="81.75" customHeight="1" x14ac:dyDescent="0.3">
      <c r="A197" s="224"/>
      <c r="B197" s="1092"/>
      <c r="C197" s="2308" t="s">
        <v>700</v>
      </c>
      <c r="D197" s="2295" t="s">
        <v>697</v>
      </c>
      <c r="E197" s="1974"/>
      <c r="F197" s="1975"/>
      <c r="G197" s="1975"/>
      <c r="H197" s="1976">
        <f t="shared" si="122"/>
        <v>0</v>
      </c>
      <c r="I197" s="2022"/>
      <c r="J197" s="1978"/>
      <c r="K197" s="1979">
        <v>0</v>
      </c>
      <c r="L197" s="1978">
        <f t="shared" si="133"/>
        <v>0</v>
      </c>
      <c r="M197" s="1978">
        <f t="shared" si="123"/>
        <v>0</v>
      </c>
      <c r="N197" s="1978">
        <f t="shared" si="124"/>
        <v>0</v>
      </c>
      <c r="O197" s="1980">
        <f t="shared" si="125"/>
        <v>0</v>
      </c>
      <c r="P197" s="2067"/>
      <c r="Q197" s="2068"/>
      <c r="R197" s="2068"/>
      <c r="S197" s="1982">
        <f>6000</f>
        <v>6000</v>
      </c>
      <c r="T197" s="1961">
        <f t="shared" si="126"/>
        <v>6000</v>
      </c>
      <c r="U197" s="1983" t="s">
        <v>698</v>
      </c>
      <c r="V197" s="1984">
        <f t="shared" si="143"/>
        <v>6000</v>
      </c>
      <c r="W197" s="1985">
        <f t="shared" si="127"/>
        <v>5405.405405405405</v>
      </c>
      <c r="X197" s="1984">
        <f t="shared" si="141"/>
        <v>6000</v>
      </c>
      <c r="Y197" s="1985">
        <f t="shared" si="142"/>
        <v>5405.405405405405</v>
      </c>
      <c r="Z197" s="1986" t="s">
        <v>1008</v>
      </c>
      <c r="AA197" s="1979">
        <v>2</v>
      </c>
      <c r="AB197" s="1978">
        <f>V197/2</f>
        <v>3000</v>
      </c>
      <c r="AC197" s="1978">
        <f t="shared" si="130"/>
        <v>2650.8792082707432</v>
      </c>
      <c r="AD197" s="1978">
        <f t="shared" si="131"/>
        <v>6000</v>
      </c>
      <c r="AE197" s="1978">
        <f t="shared" si="132"/>
        <v>5301.7584165414864</v>
      </c>
    </row>
    <row r="198" spans="1:31" ht="107.25" customHeight="1" x14ac:dyDescent="0.3">
      <c r="A198" s="224"/>
      <c r="B198" s="1092"/>
      <c r="C198" s="2306" t="s">
        <v>254</v>
      </c>
      <c r="D198" s="2314" t="s">
        <v>255</v>
      </c>
      <c r="E198" s="2065"/>
      <c r="F198" s="2064">
        <f>27700</f>
        <v>27700</v>
      </c>
      <c r="G198" s="2064"/>
      <c r="H198" s="1976">
        <f t="shared" si="122"/>
        <v>27700</v>
      </c>
      <c r="I198" s="2022" t="s">
        <v>256</v>
      </c>
      <c r="J198" s="1978" t="s">
        <v>1015</v>
      </c>
      <c r="K198" s="1979">
        <v>5</v>
      </c>
      <c r="L198" s="1978">
        <f t="shared" si="133"/>
        <v>5540</v>
      </c>
      <c r="M198" s="1978">
        <f t="shared" si="123"/>
        <v>4895.2902712733057</v>
      </c>
      <c r="N198" s="1978">
        <f t="shared" si="124"/>
        <v>27700</v>
      </c>
      <c r="O198" s="1980">
        <f t="shared" si="125"/>
        <v>24476.451356366531</v>
      </c>
      <c r="P198" s="1981">
        <f>-115.3</f>
        <v>-115.3</v>
      </c>
      <c r="Q198" s="1982"/>
      <c r="R198" s="1982"/>
      <c r="S198" s="1982"/>
      <c r="T198" s="1961">
        <f t="shared" si="126"/>
        <v>-115.3</v>
      </c>
      <c r="U198" s="2066" t="s">
        <v>628</v>
      </c>
      <c r="V198" s="1984">
        <f t="shared" si="143"/>
        <v>-115.3</v>
      </c>
      <c r="W198" s="1985">
        <f t="shared" si="127"/>
        <v>-103.87387387387386</v>
      </c>
      <c r="X198" s="1984">
        <f t="shared" si="141"/>
        <v>-27815.3</v>
      </c>
      <c r="Y198" s="1985">
        <f t="shared" si="142"/>
        <v>-24580.325230240403</v>
      </c>
      <c r="Z198" s="1986" t="s">
        <v>1015</v>
      </c>
      <c r="AA198" s="1979">
        <v>1</v>
      </c>
      <c r="AB198" s="1978">
        <v>-115.3</v>
      </c>
      <c r="AC198" s="1978">
        <f t="shared" si="130"/>
        <v>-101.88212423787223</v>
      </c>
      <c r="AD198" s="1978">
        <f t="shared" si="131"/>
        <v>-115.3</v>
      </c>
      <c r="AE198" s="1978">
        <f t="shared" si="132"/>
        <v>-101.88212423787223</v>
      </c>
    </row>
    <row r="199" spans="1:31" ht="84" customHeight="1" x14ac:dyDescent="0.3">
      <c r="A199" s="224"/>
      <c r="B199" s="1092"/>
      <c r="C199" s="1338" t="s">
        <v>257</v>
      </c>
      <c r="D199" s="2250" t="s">
        <v>871</v>
      </c>
      <c r="E199" s="1974">
        <f>118431</f>
        <v>118431</v>
      </c>
      <c r="F199" s="1975"/>
      <c r="G199" s="1975"/>
      <c r="H199" s="1976">
        <f t="shared" si="122"/>
        <v>118431</v>
      </c>
      <c r="I199" s="2022" t="s">
        <v>1021</v>
      </c>
      <c r="J199" s="1978" t="s">
        <v>993</v>
      </c>
      <c r="K199" s="1979">
        <v>200</v>
      </c>
      <c r="L199" s="1978">
        <f>H199/200</f>
        <v>592.15499999999997</v>
      </c>
      <c r="M199" s="1978">
        <f t="shared" si="123"/>
        <v>523.24379252452059</v>
      </c>
      <c r="N199" s="1978">
        <f t="shared" si="124"/>
        <v>118431</v>
      </c>
      <c r="O199" s="1980">
        <f t="shared" si="125"/>
        <v>104648.75850490414</v>
      </c>
      <c r="P199" s="1981">
        <f>143100</f>
        <v>143100</v>
      </c>
      <c r="Q199" s="1982"/>
      <c r="R199" s="1982">
        <f>28700</f>
        <v>28700</v>
      </c>
      <c r="S199" s="1982"/>
      <c r="T199" s="1961">
        <f t="shared" si="126"/>
        <v>171800</v>
      </c>
      <c r="U199" s="2066" t="s">
        <v>1056</v>
      </c>
      <c r="V199" s="1984">
        <f t="shared" si="143"/>
        <v>171800</v>
      </c>
      <c r="W199" s="1985">
        <f t="shared" si="127"/>
        <v>154774.77477477476</v>
      </c>
      <c r="X199" s="1984">
        <f t="shared" si="141"/>
        <v>53369</v>
      </c>
      <c r="Y199" s="1985">
        <f t="shared" si="142"/>
        <v>50126.016269870626</v>
      </c>
      <c r="Z199" s="1986" t="s">
        <v>993</v>
      </c>
      <c r="AA199" s="1979">
        <v>260</v>
      </c>
      <c r="AB199" s="1978">
        <f>V199/260</f>
        <v>660.76923076923072</v>
      </c>
      <c r="AC199" s="1978">
        <f t="shared" si="130"/>
        <v>583.87313843706875</v>
      </c>
      <c r="AD199" s="1978">
        <f t="shared" si="131"/>
        <v>171800</v>
      </c>
      <c r="AE199" s="1978">
        <f t="shared" si="132"/>
        <v>151807.01599363791</v>
      </c>
    </row>
    <row r="200" spans="1:31" ht="48.75" customHeight="1" x14ac:dyDescent="0.3">
      <c r="A200" s="224"/>
      <c r="B200" s="1092"/>
      <c r="C200" s="2309" t="s">
        <v>533</v>
      </c>
      <c r="D200" s="2280" t="s">
        <v>534</v>
      </c>
      <c r="E200" s="1974"/>
      <c r="F200" s="1975"/>
      <c r="G200" s="1975"/>
      <c r="H200" s="1976">
        <f t="shared" si="122"/>
        <v>0</v>
      </c>
      <c r="I200" s="2022"/>
      <c r="J200" s="1978"/>
      <c r="K200" s="1979">
        <v>0</v>
      </c>
      <c r="L200" s="1978">
        <f t="shared" si="133"/>
        <v>0</v>
      </c>
      <c r="M200" s="1978">
        <f t="shared" si="123"/>
        <v>0</v>
      </c>
      <c r="N200" s="1978">
        <f t="shared" si="124"/>
        <v>0</v>
      </c>
      <c r="O200" s="1980">
        <f t="shared" si="125"/>
        <v>0</v>
      </c>
      <c r="P200" s="2062"/>
      <c r="Q200" s="2069"/>
      <c r="R200" s="2069"/>
      <c r="S200" s="1982"/>
      <c r="T200" s="1961"/>
      <c r="U200" s="1983"/>
      <c r="V200" s="1984"/>
      <c r="W200" s="1985">
        <f t="shared" si="127"/>
        <v>0</v>
      </c>
      <c r="X200" s="1984">
        <f t="shared" si="141"/>
        <v>0</v>
      </c>
      <c r="Y200" s="1985">
        <f t="shared" si="142"/>
        <v>0</v>
      </c>
      <c r="Z200" s="1986"/>
      <c r="AA200" s="1979">
        <v>0</v>
      </c>
      <c r="AB200" s="1978">
        <f>V200/150</f>
        <v>0</v>
      </c>
      <c r="AC200" s="1978">
        <f t="shared" si="130"/>
        <v>0</v>
      </c>
      <c r="AD200" s="1978">
        <f t="shared" si="131"/>
        <v>0</v>
      </c>
      <c r="AE200" s="1978">
        <f t="shared" si="132"/>
        <v>0</v>
      </c>
    </row>
    <row r="201" spans="1:31" ht="52.5" customHeight="1" x14ac:dyDescent="0.3">
      <c r="A201" s="224"/>
      <c r="B201" s="1917"/>
      <c r="C201" s="2302" t="s">
        <v>258</v>
      </c>
      <c r="D201" s="2315" t="s">
        <v>259</v>
      </c>
      <c r="E201" s="2070">
        <f>16471</f>
        <v>16471</v>
      </c>
      <c r="F201" s="2071"/>
      <c r="G201" s="2071"/>
      <c r="H201" s="1976">
        <f t="shared" si="122"/>
        <v>16471</v>
      </c>
      <c r="I201" s="2022" t="s">
        <v>260</v>
      </c>
      <c r="J201" s="1978" t="s">
        <v>1008</v>
      </c>
      <c r="K201" s="1979">
        <v>30</v>
      </c>
      <c r="L201" s="1978">
        <f>H201/30</f>
        <v>549.0333333333333</v>
      </c>
      <c r="M201" s="1978">
        <f t="shared" si="123"/>
        <v>485.1403493269712</v>
      </c>
      <c r="N201" s="1978">
        <f t="shared" si="124"/>
        <v>16471</v>
      </c>
      <c r="O201" s="1980">
        <f t="shared" si="125"/>
        <v>14554.210479809137</v>
      </c>
      <c r="P201" s="2062">
        <f>8200</f>
        <v>8200</v>
      </c>
      <c r="Q201" s="2069"/>
      <c r="R201" s="2069"/>
      <c r="S201" s="2069"/>
      <c r="T201" s="2069">
        <f t="shared" si="126"/>
        <v>8200</v>
      </c>
      <c r="U201" s="2072" t="s">
        <v>906</v>
      </c>
      <c r="V201" s="1984">
        <f t="shared" ref="V201:V206" si="144">P201+Q201+R201+S201</f>
        <v>8200</v>
      </c>
      <c r="W201" s="1985">
        <f t="shared" si="127"/>
        <v>7387.3873873873863</v>
      </c>
      <c r="X201" s="1984">
        <f t="shared" si="141"/>
        <v>-8271</v>
      </c>
      <c r="Y201" s="1985">
        <f t="shared" si="142"/>
        <v>-7166.8230924217505</v>
      </c>
      <c r="Z201" s="1986" t="s">
        <v>1008</v>
      </c>
      <c r="AA201" s="1979">
        <v>40</v>
      </c>
      <c r="AB201" s="1978">
        <f>V201/40</f>
        <v>205</v>
      </c>
      <c r="AC201" s="1978">
        <f t="shared" si="130"/>
        <v>181.14341256516747</v>
      </c>
      <c r="AD201" s="1978">
        <f t="shared" si="131"/>
        <v>8200</v>
      </c>
      <c r="AE201" s="1978">
        <f t="shared" si="132"/>
        <v>7245.7365026066982</v>
      </c>
    </row>
    <row r="202" spans="1:31" ht="65.25" customHeight="1" x14ac:dyDescent="0.3">
      <c r="A202" s="224"/>
      <c r="B202" s="1092"/>
      <c r="C202" s="2241" t="s">
        <v>261</v>
      </c>
      <c r="D202" s="2247" t="s">
        <v>262</v>
      </c>
      <c r="E202" s="1974">
        <f>4380</f>
        <v>4380</v>
      </c>
      <c r="F202" s="1975"/>
      <c r="G202" s="1975"/>
      <c r="H202" s="1976">
        <f t="shared" si="122"/>
        <v>4380</v>
      </c>
      <c r="I202" s="2022" t="s">
        <v>263</v>
      </c>
      <c r="J202" s="1978" t="s">
        <v>1008</v>
      </c>
      <c r="K202" s="1979">
        <v>6</v>
      </c>
      <c r="L202" s="1978">
        <f>H202/6</f>
        <v>730</v>
      </c>
      <c r="M202" s="1978">
        <f t="shared" si="123"/>
        <v>645.04727401254752</v>
      </c>
      <c r="N202" s="1978">
        <f t="shared" si="124"/>
        <v>4380</v>
      </c>
      <c r="O202" s="1980">
        <f t="shared" si="125"/>
        <v>3870.2836440752853</v>
      </c>
      <c r="P202" s="1981">
        <v>1350</v>
      </c>
      <c r="Q202" s="1982"/>
      <c r="R202" s="1982"/>
      <c r="S202" s="1982"/>
      <c r="T202" s="1961">
        <f t="shared" si="126"/>
        <v>1350</v>
      </c>
      <c r="U202" s="1983" t="s">
        <v>631</v>
      </c>
      <c r="V202" s="1984">
        <f t="shared" si="144"/>
        <v>1350</v>
      </c>
      <c r="W202" s="1985">
        <f t="shared" si="127"/>
        <v>1216.216216216216</v>
      </c>
      <c r="X202" s="1984">
        <f t="shared" si="141"/>
        <v>-3030</v>
      </c>
      <c r="Y202" s="1985">
        <f t="shared" si="142"/>
        <v>-2654.0674278590695</v>
      </c>
      <c r="Z202" s="1986" t="s">
        <v>1008</v>
      </c>
      <c r="AA202" s="1979">
        <v>6</v>
      </c>
      <c r="AB202" s="1978">
        <f>V202/6</f>
        <v>225</v>
      </c>
      <c r="AC202" s="1978">
        <f t="shared" si="130"/>
        <v>198.81594062030575</v>
      </c>
      <c r="AD202" s="1978">
        <f t="shared" si="131"/>
        <v>1350</v>
      </c>
      <c r="AE202" s="1978">
        <f t="shared" si="132"/>
        <v>1192.8956437218344</v>
      </c>
    </row>
    <row r="203" spans="1:31" ht="72" customHeight="1" x14ac:dyDescent="0.3">
      <c r="A203" s="224"/>
      <c r="B203" s="1092"/>
      <c r="C203" s="2297" t="s">
        <v>264</v>
      </c>
      <c r="D203" s="2280" t="s">
        <v>265</v>
      </c>
      <c r="E203" s="1974">
        <f>7200</f>
        <v>7200</v>
      </c>
      <c r="F203" s="1975"/>
      <c r="G203" s="1975"/>
      <c r="H203" s="1976">
        <f t="shared" si="122"/>
        <v>7200</v>
      </c>
      <c r="I203" s="2022" t="s">
        <v>266</v>
      </c>
      <c r="J203" s="1978" t="s">
        <v>1008</v>
      </c>
      <c r="K203" s="1979">
        <v>15</v>
      </c>
      <c r="L203" s="1978">
        <f>H203/15</f>
        <v>480</v>
      </c>
      <c r="M203" s="1978">
        <f t="shared" si="123"/>
        <v>424.14067332331894</v>
      </c>
      <c r="N203" s="1978">
        <f t="shared" si="124"/>
        <v>7200</v>
      </c>
      <c r="O203" s="1980">
        <f t="shared" si="125"/>
        <v>6362.1100998497841</v>
      </c>
      <c r="P203" s="1981">
        <v>5900</v>
      </c>
      <c r="Q203" s="1982">
        <v>2300</v>
      </c>
      <c r="R203" s="1982"/>
      <c r="S203" s="1982"/>
      <c r="T203" s="1961">
        <f t="shared" si="126"/>
        <v>8200</v>
      </c>
      <c r="U203" s="1983" t="s">
        <v>632</v>
      </c>
      <c r="V203" s="1984">
        <f t="shared" si="144"/>
        <v>8200</v>
      </c>
      <c r="W203" s="1985">
        <f t="shared" si="127"/>
        <v>7387.3873873873863</v>
      </c>
      <c r="X203" s="1984">
        <f t="shared" si="141"/>
        <v>1000</v>
      </c>
      <c r="Y203" s="1985">
        <f t="shared" si="142"/>
        <v>1025.2772875376022</v>
      </c>
      <c r="Z203" s="1986" t="s">
        <v>1008</v>
      </c>
      <c r="AA203" s="1979">
        <v>15</v>
      </c>
      <c r="AB203" s="1978">
        <f>V203/15</f>
        <v>546.66666666666663</v>
      </c>
      <c r="AC203" s="1978">
        <f t="shared" si="130"/>
        <v>483.04910017377983</v>
      </c>
      <c r="AD203" s="1978">
        <f t="shared" si="131"/>
        <v>8200</v>
      </c>
      <c r="AE203" s="1978">
        <f t="shared" si="132"/>
        <v>7245.7365026066982</v>
      </c>
    </row>
    <row r="204" spans="1:31" ht="71.25" customHeight="1" x14ac:dyDescent="0.3">
      <c r="A204" s="224"/>
      <c r="B204" s="1092"/>
      <c r="C204" s="2305" t="s">
        <v>267</v>
      </c>
      <c r="D204" s="2293" t="s">
        <v>568</v>
      </c>
      <c r="E204" s="1974">
        <f>13400</f>
        <v>13400</v>
      </c>
      <c r="F204" s="1975"/>
      <c r="G204" s="1975"/>
      <c r="H204" s="1976">
        <f t="shared" si="122"/>
        <v>13400</v>
      </c>
      <c r="I204" s="2022" t="s">
        <v>268</v>
      </c>
      <c r="J204" s="1978" t="s">
        <v>1008</v>
      </c>
      <c r="K204" s="1979">
        <v>80</v>
      </c>
      <c r="L204" s="1978">
        <f>H204/80</f>
        <v>167.5</v>
      </c>
      <c r="M204" s="1978">
        <f t="shared" si="123"/>
        <v>148.00742246178316</v>
      </c>
      <c r="N204" s="1978">
        <f t="shared" si="124"/>
        <v>13400</v>
      </c>
      <c r="O204" s="1980">
        <f t="shared" si="125"/>
        <v>11840.593796942654</v>
      </c>
      <c r="P204" s="1981">
        <v>33941</v>
      </c>
      <c r="Q204" s="1982">
        <v>46159</v>
      </c>
      <c r="R204" s="1982"/>
      <c r="S204" s="1982"/>
      <c r="T204" s="1961">
        <f t="shared" si="126"/>
        <v>80100</v>
      </c>
      <c r="U204" s="1983" t="s">
        <v>633</v>
      </c>
      <c r="V204" s="1984">
        <f t="shared" si="144"/>
        <v>80100</v>
      </c>
      <c r="W204" s="1985">
        <f t="shared" si="127"/>
        <v>72162.16216216216</v>
      </c>
      <c r="X204" s="1984">
        <f t="shared" si="141"/>
        <v>66700</v>
      </c>
      <c r="Y204" s="1985">
        <f t="shared" si="142"/>
        <v>60321.568365219508</v>
      </c>
      <c r="Z204" s="1986" t="s">
        <v>1008</v>
      </c>
      <c r="AA204" s="1979">
        <v>90</v>
      </c>
      <c r="AB204" s="1978">
        <f>V204/90</f>
        <v>890</v>
      </c>
      <c r="AC204" s="1978">
        <f t="shared" si="130"/>
        <v>786.42749845365381</v>
      </c>
      <c r="AD204" s="1978">
        <f t="shared" si="131"/>
        <v>80100</v>
      </c>
      <c r="AE204" s="1978">
        <f t="shared" si="132"/>
        <v>70778.47486082885</v>
      </c>
    </row>
    <row r="205" spans="1:31" ht="85.5" customHeight="1" x14ac:dyDescent="0.3">
      <c r="A205" s="224"/>
      <c r="B205" s="1092"/>
      <c r="C205" s="2297" t="s">
        <v>701</v>
      </c>
      <c r="D205" s="2280" t="s">
        <v>702</v>
      </c>
      <c r="E205" s="1974"/>
      <c r="F205" s="1975"/>
      <c r="G205" s="1975"/>
      <c r="H205" s="1976">
        <f t="shared" si="122"/>
        <v>0</v>
      </c>
      <c r="I205" s="2022"/>
      <c r="J205" s="1978"/>
      <c r="K205" s="1979">
        <v>0</v>
      </c>
      <c r="L205" s="1978">
        <f t="shared" si="133"/>
        <v>0</v>
      </c>
      <c r="M205" s="1978">
        <f t="shared" si="123"/>
        <v>0</v>
      </c>
      <c r="N205" s="1978">
        <f t="shared" si="124"/>
        <v>0</v>
      </c>
      <c r="O205" s="1980">
        <f t="shared" si="125"/>
        <v>0</v>
      </c>
      <c r="P205" s="1981"/>
      <c r="Q205" s="1982"/>
      <c r="R205" s="1982"/>
      <c r="S205" s="1982">
        <f>4200</f>
        <v>4200</v>
      </c>
      <c r="T205" s="1961">
        <f t="shared" ref="T205" si="145">SUM(P205:S205)</f>
        <v>4200</v>
      </c>
      <c r="U205" s="1983" t="s">
        <v>726</v>
      </c>
      <c r="V205" s="1984">
        <f t="shared" si="144"/>
        <v>4200</v>
      </c>
      <c r="W205" s="1985">
        <f t="shared" si="127"/>
        <v>3783.7837837837833</v>
      </c>
      <c r="X205" s="1984">
        <f t="shared" si="141"/>
        <v>4200</v>
      </c>
      <c r="Y205" s="1985">
        <f t="shared" si="142"/>
        <v>3783.7837837837833</v>
      </c>
      <c r="Z205" s="1986" t="s">
        <v>1008</v>
      </c>
      <c r="AA205" s="1979">
        <v>60</v>
      </c>
      <c r="AB205" s="1978">
        <f>V205/60</f>
        <v>70</v>
      </c>
      <c r="AC205" s="1978">
        <f t="shared" si="130"/>
        <v>61.85384819298401</v>
      </c>
      <c r="AD205" s="1978">
        <f t="shared" si="131"/>
        <v>4200</v>
      </c>
      <c r="AE205" s="1978">
        <f t="shared" si="132"/>
        <v>3711.2308915790404</v>
      </c>
    </row>
    <row r="206" spans="1:31" ht="45" customHeight="1" x14ac:dyDescent="0.3">
      <c r="A206" s="224"/>
      <c r="B206" s="1092"/>
      <c r="C206" s="2297" t="s">
        <v>536</v>
      </c>
      <c r="D206" s="2280" t="s">
        <v>739</v>
      </c>
      <c r="E206" s="1974"/>
      <c r="F206" s="1975"/>
      <c r="G206" s="1975"/>
      <c r="H206" s="1976">
        <f t="shared" si="122"/>
        <v>0</v>
      </c>
      <c r="I206" s="2022"/>
      <c r="J206" s="1978"/>
      <c r="K206" s="1979">
        <v>0</v>
      </c>
      <c r="L206" s="1978">
        <f t="shared" si="133"/>
        <v>0</v>
      </c>
      <c r="M206" s="1978">
        <f t="shared" si="123"/>
        <v>0</v>
      </c>
      <c r="N206" s="1978">
        <f t="shared" si="124"/>
        <v>0</v>
      </c>
      <c r="O206" s="1980">
        <f t="shared" si="125"/>
        <v>0</v>
      </c>
      <c r="P206" s="1981">
        <v>950</v>
      </c>
      <c r="Q206" s="1982"/>
      <c r="R206" s="1982"/>
      <c r="S206" s="1982"/>
      <c r="T206" s="1961">
        <f t="shared" si="126"/>
        <v>950</v>
      </c>
      <c r="U206" s="1983" t="s">
        <v>538</v>
      </c>
      <c r="V206" s="1984">
        <f t="shared" si="144"/>
        <v>950</v>
      </c>
      <c r="W206" s="1985">
        <f t="shared" si="127"/>
        <v>855.85585585585579</v>
      </c>
      <c r="X206" s="1984">
        <f t="shared" si="141"/>
        <v>950</v>
      </c>
      <c r="Y206" s="1985">
        <f t="shared" si="142"/>
        <v>855.85585585585579</v>
      </c>
      <c r="Z206" s="1986" t="s">
        <v>1001</v>
      </c>
      <c r="AA206" s="1979">
        <v>2</v>
      </c>
      <c r="AB206" s="1978">
        <f>V206/2</f>
        <v>475</v>
      </c>
      <c r="AC206" s="1978">
        <f t="shared" si="130"/>
        <v>419.72254130953434</v>
      </c>
      <c r="AD206" s="1978">
        <f t="shared" si="131"/>
        <v>950</v>
      </c>
      <c r="AE206" s="1978">
        <f t="shared" si="132"/>
        <v>839.44508261906867</v>
      </c>
    </row>
    <row r="207" spans="1:31" ht="33" customHeight="1" thickBot="1" x14ac:dyDescent="0.35">
      <c r="A207" s="224"/>
      <c r="B207" s="2073"/>
      <c r="C207" s="1338"/>
      <c r="D207" s="2316"/>
      <c r="E207" s="2074"/>
      <c r="F207" s="2075"/>
      <c r="G207" s="2075"/>
      <c r="H207" s="2076"/>
      <c r="I207" s="2022"/>
      <c r="J207" s="1990"/>
      <c r="K207" s="1991"/>
      <c r="L207" s="1990"/>
      <c r="M207" s="1990"/>
      <c r="N207" s="1990"/>
      <c r="O207" s="1992"/>
      <c r="P207" s="2077"/>
      <c r="Q207" s="2078"/>
      <c r="R207" s="2078"/>
      <c r="S207" s="2078"/>
      <c r="T207" s="2078"/>
      <c r="U207" s="2079"/>
      <c r="V207" s="1996"/>
      <c r="W207" s="1997"/>
      <c r="X207" s="1996"/>
      <c r="Y207" s="1997"/>
      <c r="Z207" s="1998"/>
      <c r="AA207" s="1991"/>
      <c r="AB207" s="1990"/>
      <c r="AC207" s="1990"/>
      <c r="AD207" s="1990"/>
      <c r="AE207" s="1990"/>
    </row>
    <row r="208" spans="1:31" ht="30.75" customHeight="1" thickBot="1" x14ac:dyDescent="0.35">
      <c r="A208" s="284"/>
      <c r="B208" s="2080" t="s">
        <v>45</v>
      </c>
      <c r="C208" s="2034"/>
      <c r="D208" s="2257"/>
      <c r="E208" s="2035">
        <f>SUM(E156:E206)</f>
        <v>514757</v>
      </c>
      <c r="F208" s="2033">
        <f t="shared" ref="F208:H208" si="146">SUM(F156:F206)</f>
        <v>276472.5</v>
      </c>
      <c r="G208" s="2033">
        <f t="shared" si="146"/>
        <v>35672.5</v>
      </c>
      <c r="H208" s="2036">
        <f t="shared" si="146"/>
        <v>826902</v>
      </c>
      <c r="I208" s="2081"/>
      <c r="J208" s="2081"/>
      <c r="K208" s="2082"/>
      <c r="L208" s="2081"/>
      <c r="M208" s="2081"/>
      <c r="N208" s="2081">
        <f t="shared" ref="N208" si="147">SUM(N156:N206)</f>
        <v>826902</v>
      </c>
      <c r="O208" s="2083">
        <f>SUM(O156:O206)-0.44</f>
        <v>730671.99969249789</v>
      </c>
      <c r="P208" s="2040">
        <f>SUM(P156:P207)</f>
        <v>594396.69999999995</v>
      </c>
      <c r="Q208" s="2041">
        <f t="shared" ref="Q208:T208" si="148">SUM(Q156:Q207)</f>
        <v>277205.2</v>
      </c>
      <c r="R208" s="2041">
        <f t="shared" si="148"/>
        <v>193374.41</v>
      </c>
      <c r="S208" s="2041">
        <f t="shared" si="148"/>
        <v>146934.70000000001</v>
      </c>
      <c r="T208" s="2041">
        <f t="shared" si="148"/>
        <v>1211911.01</v>
      </c>
      <c r="U208" s="2042"/>
      <c r="V208" s="2040">
        <f t="shared" ref="V208:AE208" si="149">SUM(V156:V207)</f>
        <v>1211911.01</v>
      </c>
      <c r="W208" s="2042">
        <f t="shared" si="149"/>
        <v>1091811.7207207207</v>
      </c>
      <c r="X208" s="2040">
        <f t="shared" si="149"/>
        <v>385009.01</v>
      </c>
      <c r="Y208" s="2042">
        <f t="shared" si="149"/>
        <v>361139.28102822258</v>
      </c>
      <c r="Z208" s="2084"/>
      <c r="AA208" s="2082"/>
      <c r="AB208" s="2081">
        <f t="shared" si="149"/>
        <v>137933.21892307693</v>
      </c>
      <c r="AC208" s="2081">
        <f t="shared" si="149"/>
        <v>121881.43405768042</v>
      </c>
      <c r="AD208" s="2081">
        <f t="shared" si="149"/>
        <v>1211911.01</v>
      </c>
      <c r="AE208" s="2085">
        <f t="shared" si="149"/>
        <v>1070876.5662277988</v>
      </c>
    </row>
    <row r="209" spans="1:31" ht="30.75" customHeight="1" thickBot="1" x14ac:dyDescent="0.35">
      <c r="A209" s="284"/>
      <c r="B209" s="2086"/>
      <c r="C209" s="1331"/>
      <c r="D209" s="2087" t="s">
        <v>1033</v>
      </c>
      <c r="E209" s="2088"/>
      <c r="F209" s="2089"/>
      <c r="G209" s="2089"/>
      <c r="H209" s="2090"/>
      <c r="I209" s="2091"/>
      <c r="J209" s="2092"/>
      <c r="K209" s="2093"/>
      <c r="L209" s="2092"/>
      <c r="M209" s="2092"/>
      <c r="N209" s="2092">
        <f>N153+N208</f>
        <v>1602812.2</v>
      </c>
      <c r="O209" s="2092">
        <f>O153+O208</f>
        <v>1416286.9985808958</v>
      </c>
      <c r="P209" s="2094"/>
      <c r="Q209" s="2095"/>
      <c r="R209" s="2095"/>
      <c r="S209" s="2095"/>
      <c r="T209" s="2095">
        <f>T153+T208</f>
        <v>2190137.6800000002</v>
      </c>
      <c r="U209" s="2096"/>
      <c r="V209" s="2094">
        <f>V153+V208</f>
        <v>2190137.6800000002</v>
      </c>
      <c r="W209" s="2096">
        <f>W153+W208</f>
        <v>1973097.0090090092</v>
      </c>
      <c r="X209" s="2094">
        <f>X153+X208</f>
        <v>587325.48</v>
      </c>
      <c r="Y209" s="2096">
        <f>Y153+Y208</f>
        <v>556809.83042811276</v>
      </c>
      <c r="Z209" s="2364"/>
      <c r="AA209" s="2365"/>
      <c r="AB209" s="2364"/>
      <c r="AC209" s="2364"/>
      <c r="AD209" s="2364">
        <f>AD153+AD208</f>
        <v>2190137.6800000002</v>
      </c>
      <c r="AE209" s="2364">
        <f>AE153+AE208</f>
        <v>1935263.4797207741</v>
      </c>
    </row>
    <row r="210" spans="1:31" ht="37.5" customHeight="1" x14ac:dyDescent="0.3">
      <c r="A210" s="284"/>
      <c r="B210" s="2097"/>
      <c r="C210" s="2098"/>
      <c r="D210" s="2099"/>
      <c r="E210" s="2100"/>
      <c r="F210" s="2101"/>
      <c r="G210" s="2101"/>
      <c r="H210" s="2102"/>
      <c r="I210" s="2103"/>
      <c r="J210" s="2104"/>
      <c r="K210" s="2105"/>
      <c r="L210" s="2104"/>
      <c r="M210" s="2104"/>
      <c r="N210" s="2104"/>
      <c r="O210" s="2106"/>
      <c r="P210" s="2107"/>
      <c r="Q210" s="2108"/>
      <c r="R210" s="2108"/>
      <c r="S210" s="2108"/>
      <c r="T210" s="2108"/>
      <c r="U210" s="2109"/>
      <c r="V210" s="2107"/>
      <c r="W210" s="2109"/>
      <c r="X210" s="2107"/>
      <c r="Y210" s="2109"/>
      <c r="Z210" s="2110"/>
      <c r="AA210" s="2105"/>
      <c r="AB210" s="2104"/>
      <c r="AC210" s="2104"/>
      <c r="AD210" s="2104"/>
      <c r="AE210" s="2104"/>
    </row>
    <row r="211" spans="1:31" ht="63" customHeight="1" x14ac:dyDescent="0.3">
      <c r="A211" s="284"/>
      <c r="B211" s="161" t="s">
        <v>269</v>
      </c>
      <c r="C211" s="78"/>
      <c r="D211" s="78"/>
      <c r="E211" s="1957"/>
      <c r="F211" s="1955"/>
      <c r="G211" s="1955"/>
      <c r="H211" s="1958"/>
      <c r="I211" s="2111"/>
      <c r="J211" s="1978"/>
      <c r="K211" s="1979"/>
      <c r="L211" s="1978"/>
      <c r="M211" s="1978"/>
      <c r="N211" s="1978"/>
      <c r="O211" s="1980"/>
      <c r="P211" s="1984"/>
      <c r="Q211" s="2112"/>
      <c r="R211" s="2112"/>
      <c r="S211" s="2112"/>
      <c r="T211" s="2112"/>
      <c r="U211" s="1985"/>
      <c r="V211" s="1984"/>
      <c r="W211" s="1985"/>
      <c r="X211" s="1984"/>
      <c r="Y211" s="1985"/>
      <c r="Z211" s="1986"/>
      <c r="AA211" s="1979"/>
      <c r="AB211" s="1978"/>
      <c r="AC211" s="1978"/>
      <c r="AD211" s="1978"/>
      <c r="AE211" s="1978"/>
    </row>
    <row r="212" spans="1:31" ht="3.75" customHeight="1" x14ac:dyDescent="0.3">
      <c r="A212" s="224"/>
      <c r="B212" s="2113"/>
      <c r="C212" s="2024"/>
      <c r="D212" s="2114"/>
      <c r="E212" s="2115"/>
      <c r="F212" s="2116"/>
      <c r="G212" s="2116"/>
      <c r="H212" s="2117"/>
      <c r="I212" s="2118"/>
      <c r="J212" s="1978"/>
      <c r="K212" s="1979"/>
      <c r="L212" s="1978"/>
      <c r="M212" s="1978"/>
      <c r="N212" s="1978"/>
      <c r="O212" s="1980"/>
      <c r="P212" s="1960"/>
      <c r="Q212" s="1961"/>
      <c r="R212" s="1961"/>
      <c r="S212" s="1961"/>
      <c r="T212" s="1961"/>
      <c r="U212" s="2021"/>
      <c r="V212" s="1960"/>
      <c r="W212" s="1985"/>
      <c r="X212" s="1960"/>
      <c r="Y212" s="2021"/>
      <c r="Z212" s="1986"/>
      <c r="AA212" s="1979"/>
      <c r="AB212" s="1978"/>
      <c r="AC212" s="1978"/>
      <c r="AD212" s="1978"/>
      <c r="AE212" s="1978"/>
    </row>
    <row r="213" spans="1:31" ht="61.5" customHeight="1" x14ac:dyDescent="0.3">
      <c r="A213" s="299">
        <v>5.0999999999999996</v>
      </c>
      <c r="B213" s="2712" t="s">
        <v>270</v>
      </c>
      <c r="C213" s="2713"/>
      <c r="D213" s="2713"/>
      <c r="E213" s="1962"/>
      <c r="F213" s="1963"/>
      <c r="G213" s="1963"/>
      <c r="H213" s="1964"/>
      <c r="I213" s="1910"/>
      <c r="J213" s="1978"/>
      <c r="K213" s="1979"/>
      <c r="L213" s="1978"/>
      <c r="M213" s="1978"/>
      <c r="N213" s="1978"/>
      <c r="O213" s="1980"/>
      <c r="P213" s="1960"/>
      <c r="Q213" s="1961"/>
      <c r="R213" s="1961"/>
      <c r="S213" s="1961"/>
      <c r="T213" s="1961"/>
      <c r="U213" s="2021"/>
      <c r="V213" s="1960"/>
      <c r="W213" s="1985"/>
      <c r="X213" s="1960"/>
      <c r="Y213" s="2021"/>
      <c r="Z213" s="1986"/>
      <c r="AA213" s="1979"/>
      <c r="AB213" s="1978"/>
      <c r="AC213" s="1978"/>
      <c r="AD213" s="1978"/>
      <c r="AE213" s="1978"/>
    </row>
    <row r="214" spans="1:31" ht="50.25" customHeight="1" x14ac:dyDescent="0.3">
      <c r="A214" s="224"/>
      <c r="B214" s="1092"/>
      <c r="C214" s="2241" t="s">
        <v>271</v>
      </c>
      <c r="D214" s="2319" t="s">
        <v>634</v>
      </c>
      <c r="E214" s="2070">
        <f>17070</f>
        <v>17070</v>
      </c>
      <c r="F214" s="2071">
        <f>58610</f>
        <v>58610</v>
      </c>
      <c r="G214" s="2071"/>
      <c r="H214" s="1976">
        <f t="shared" ref="H214:H219" si="150">SUM(E214:G214)</f>
        <v>75680</v>
      </c>
      <c r="I214" s="2022" t="s">
        <v>272</v>
      </c>
      <c r="J214" s="1978" t="s">
        <v>993</v>
      </c>
      <c r="K214" s="1979">
        <v>200</v>
      </c>
      <c r="L214" s="1978">
        <f>H214/200</f>
        <v>378.4</v>
      </c>
      <c r="M214" s="1978">
        <f>L214/1.1317</f>
        <v>334.3642308032164</v>
      </c>
      <c r="N214" s="1978">
        <f>K214*L214</f>
        <v>75680</v>
      </c>
      <c r="O214" s="1980">
        <f t="shared" ref="O214:O219" si="151">N214/1.1317</f>
        <v>66872.846160643283</v>
      </c>
      <c r="P214" s="1981"/>
      <c r="Q214" s="1982">
        <f>18700</f>
        <v>18700</v>
      </c>
      <c r="R214" s="1982"/>
      <c r="S214" s="1982"/>
      <c r="T214" s="1961">
        <f t="shared" ref="T214:T219" si="152">SUM(P214:S214)</f>
        <v>18700</v>
      </c>
      <c r="U214" s="1983" t="s">
        <v>635</v>
      </c>
      <c r="V214" s="1984">
        <f t="shared" ref="V214:V219" si="153">P214+Q214+R214+S214</f>
        <v>18700</v>
      </c>
      <c r="W214" s="1985">
        <f t="shared" ref="W214:W219" si="154">V214/1.11</f>
        <v>16846.846846846845</v>
      </c>
      <c r="X214" s="1984">
        <f t="shared" ref="X214:Y219" si="155">V214-N214</f>
        <v>-56980</v>
      </c>
      <c r="Y214" s="1985">
        <f t="shared" si="155"/>
        <v>-50025.999313796434</v>
      </c>
      <c r="Z214" s="1986" t="s">
        <v>993</v>
      </c>
      <c r="AA214" s="1979">
        <v>45</v>
      </c>
      <c r="AB214" s="1978">
        <f>V214/45</f>
        <v>415.55555555555554</v>
      </c>
      <c r="AC214" s="1978">
        <f>AB214/1.1317</f>
        <v>367.19586070120664</v>
      </c>
      <c r="AD214" s="1978">
        <f>AA214*AB214</f>
        <v>18700</v>
      </c>
      <c r="AE214" s="1978">
        <f t="shared" ref="AE214:AE219" si="156">AD214/1.1317</f>
        <v>16523.813731554299</v>
      </c>
    </row>
    <row r="215" spans="1:31" ht="72.75" customHeight="1" x14ac:dyDescent="0.3">
      <c r="A215" s="224"/>
      <c r="B215" s="1092"/>
      <c r="C215" s="2241" t="s">
        <v>273</v>
      </c>
      <c r="D215" s="2320" t="s">
        <v>738</v>
      </c>
      <c r="E215" s="2070">
        <f>21000</f>
        <v>21000</v>
      </c>
      <c r="F215" s="2071">
        <f>28400</f>
        <v>28400</v>
      </c>
      <c r="G215" s="2071"/>
      <c r="H215" s="1976">
        <f t="shared" si="150"/>
        <v>49400</v>
      </c>
      <c r="I215" s="2022" t="s">
        <v>338</v>
      </c>
      <c r="J215" s="1978" t="s">
        <v>1022</v>
      </c>
      <c r="K215" s="1979">
        <v>120</v>
      </c>
      <c r="L215" s="1978">
        <f>H215/120</f>
        <v>411.66666666666669</v>
      </c>
      <c r="M215" s="1978">
        <f>L215/1.1317</f>
        <v>363.75953580159648</v>
      </c>
      <c r="N215" s="1978">
        <f>K215*L215</f>
        <v>49400</v>
      </c>
      <c r="O215" s="1980">
        <f t="shared" si="151"/>
        <v>43651.144296191575</v>
      </c>
      <c r="P215" s="1981">
        <v>29000</v>
      </c>
      <c r="Q215" s="1982">
        <v>0</v>
      </c>
      <c r="R215" s="1982">
        <v>0</v>
      </c>
      <c r="S215" s="1982"/>
      <c r="T215" s="1961">
        <f t="shared" si="152"/>
        <v>29000</v>
      </c>
      <c r="U215" s="1983" t="s">
        <v>636</v>
      </c>
      <c r="V215" s="1984">
        <f t="shared" si="153"/>
        <v>29000</v>
      </c>
      <c r="W215" s="1985">
        <f t="shared" si="154"/>
        <v>26126.126126126124</v>
      </c>
      <c r="X215" s="1984">
        <f t="shared" si="155"/>
        <v>-20400</v>
      </c>
      <c r="Y215" s="1985">
        <f t="shared" si="155"/>
        <v>-17525.01817006545</v>
      </c>
      <c r="Z215" s="1986" t="s">
        <v>1022</v>
      </c>
      <c r="AA215" s="1979">
        <v>110</v>
      </c>
      <c r="AB215" s="1978">
        <f>V215/110</f>
        <v>263.63636363636363</v>
      </c>
      <c r="AC215" s="1978">
        <f>AB215/1.1317</f>
        <v>232.95605163591381</v>
      </c>
      <c r="AD215" s="1978">
        <f>AA215*AB215</f>
        <v>29000</v>
      </c>
      <c r="AE215" s="1978">
        <f t="shared" si="156"/>
        <v>25625.165679950518</v>
      </c>
    </row>
    <row r="216" spans="1:31" ht="52.5" customHeight="1" x14ac:dyDescent="0.3">
      <c r="A216" s="224"/>
      <c r="B216" s="2119"/>
      <c r="C216" s="2317" t="s">
        <v>275</v>
      </c>
      <c r="D216" s="2321" t="s">
        <v>719</v>
      </c>
      <c r="E216" s="2070">
        <f>8000</f>
        <v>8000</v>
      </c>
      <c r="F216" s="2071"/>
      <c r="G216" s="2071"/>
      <c r="H216" s="1976">
        <f t="shared" si="150"/>
        <v>8000</v>
      </c>
      <c r="I216" s="2120" t="s">
        <v>276</v>
      </c>
      <c r="J216" s="1978" t="s">
        <v>997</v>
      </c>
      <c r="K216" s="1979">
        <v>500</v>
      </c>
      <c r="L216" s="1978">
        <f>H216/500</f>
        <v>16</v>
      </c>
      <c r="M216" s="1978">
        <f>L216/1.1317</f>
        <v>14.13802244411063</v>
      </c>
      <c r="N216" s="1978">
        <f>K216*L216</f>
        <v>8000</v>
      </c>
      <c r="O216" s="1980">
        <f t="shared" si="151"/>
        <v>7069.0112220553156</v>
      </c>
      <c r="P216" s="1981"/>
      <c r="Q216" s="1982"/>
      <c r="R216" s="1982">
        <f>9600</f>
        <v>9600</v>
      </c>
      <c r="S216" s="1982"/>
      <c r="T216" s="1961">
        <f t="shared" si="152"/>
        <v>9600</v>
      </c>
      <c r="U216" s="1983" t="s">
        <v>784</v>
      </c>
      <c r="V216" s="1984">
        <f t="shared" si="153"/>
        <v>9600</v>
      </c>
      <c r="W216" s="1985">
        <f t="shared" si="154"/>
        <v>8648.6486486486483</v>
      </c>
      <c r="X216" s="1984">
        <f t="shared" si="155"/>
        <v>1600</v>
      </c>
      <c r="Y216" s="1985">
        <f t="shared" si="155"/>
        <v>1579.6374265933327</v>
      </c>
      <c r="Z216" s="1986" t="s">
        <v>997</v>
      </c>
      <c r="AA216" s="1979">
        <v>400</v>
      </c>
      <c r="AB216" s="1978">
        <f>V216/400</f>
        <v>24</v>
      </c>
      <c r="AC216" s="1978">
        <f>AB216/1.1317</f>
        <v>21.207033666165945</v>
      </c>
      <c r="AD216" s="1978">
        <f>AA216*AB216</f>
        <v>9600</v>
      </c>
      <c r="AE216" s="1978">
        <f t="shared" si="156"/>
        <v>8482.8134664663794</v>
      </c>
    </row>
    <row r="217" spans="1:31" ht="53.25" customHeight="1" x14ac:dyDescent="0.3">
      <c r="A217" s="224"/>
      <c r="B217" s="2119"/>
      <c r="C217" s="2318" t="s">
        <v>703</v>
      </c>
      <c r="D217" s="2322" t="s">
        <v>720</v>
      </c>
      <c r="E217" s="2070"/>
      <c r="F217" s="2071"/>
      <c r="G217" s="2071"/>
      <c r="H217" s="1976">
        <f t="shared" si="150"/>
        <v>0</v>
      </c>
      <c r="I217" s="2120"/>
      <c r="J217" s="1978"/>
      <c r="K217" s="1979">
        <v>0</v>
      </c>
      <c r="L217" s="1978">
        <f t="shared" ref="L217:L219" si="157">H217/80</f>
        <v>0</v>
      </c>
      <c r="M217" s="1978">
        <f t="shared" ref="M217:M219" si="158">L217/1.1317</f>
        <v>0</v>
      </c>
      <c r="N217" s="1978">
        <f t="shared" ref="N217:N219" si="159">K217*L217</f>
        <v>0</v>
      </c>
      <c r="O217" s="1980">
        <f t="shared" si="151"/>
        <v>0</v>
      </c>
      <c r="P217" s="1981"/>
      <c r="Q217" s="2121"/>
      <c r="R217" s="1982"/>
      <c r="S217" s="1982">
        <f>6000</f>
        <v>6000</v>
      </c>
      <c r="T217" s="2068">
        <f t="shared" ref="T217:T218" si="160">SUM(P217:S217)</f>
        <v>6000</v>
      </c>
      <c r="U217" s="1983" t="s">
        <v>725</v>
      </c>
      <c r="V217" s="1984">
        <f t="shared" si="153"/>
        <v>6000</v>
      </c>
      <c r="W217" s="1985">
        <f t="shared" si="154"/>
        <v>5405.405405405405</v>
      </c>
      <c r="X217" s="1984">
        <f t="shared" si="155"/>
        <v>6000</v>
      </c>
      <c r="Y217" s="1985">
        <f t="shared" si="155"/>
        <v>5405.405405405405</v>
      </c>
      <c r="Z217" s="1986" t="s">
        <v>1007</v>
      </c>
      <c r="AA217" s="1979">
        <v>200</v>
      </c>
      <c r="AB217" s="1978">
        <f>V217/200</f>
        <v>30</v>
      </c>
      <c r="AC217" s="1978">
        <f t="shared" ref="AC217:AC219" si="161">AB217/1.1317</f>
        <v>26.508792082707433</v>
      </c>
      <c r="AD217" s="1978">
        <f t="shared" ref="AD217:AD219" si="162">AA217*AB217</f>
        <v>6000</v>
      </c>
      <c r="AE217" s="1978">
        <f t="shared" si="156"/>
        <v>5301.7584165414864</v>
      </c>
    </row>
    <row r="218" spans="1:31" ht="41.25" customHeight="1" x14ac:dyDescent="0.3">
      <c r="A218" s="224"/>
      <c r="B218" s="2119"/>
      <c r="C218" s="2318" t="s">
        <v>704</v>
      </c>
      <c r="D218" s="2322" t="s">
        <v>705</v>
      </c>
      <c r="E218" s="2070"/>
      <c r="F218" s="2071"/>
      <c r="G218" s="2071"/>
      <c r="H218" s="1976">
        <f t="shared" si="150"/>
        <v>0</v>
      </c>
      <c r="I218" s="2120"/>
      <c r="J218" s="1978"/>
      <c r="K218" s="1979">
        <v>0</v>
      </c>
      <c r="L218" s="1978">
        <f t="shared" si="157"/>
        <v>0</v>
      </c>
      <c r="M218" s="1978">
        <f t="shared" si="158"/>
        <v>0</v>
      </c>
      <c r="N218" s="1978">
        <f t="shared" si="159"/>
        <v>0</v>
      </c>
      <c r="O218" s="1980">
        <f t="shared" si="151"/>
        <v>0</v>
      </c>
      <c r="P218" s="1981"/>
      <c r="Q218" s="2121"/>
      <c r="R218" s="1982"/>
      <c r="S218" s="1982">
        <f>12600+1400</f>
        <v>14000</v>
      </c>
      <c r="T218" s="2068">
        <f t="shared" si="160"/>
        <v>14000</v>
      </c>
      <c r="U218" s="1983" t="s">
        <v>877</v>
      </c>
      <c r="V218" s="1984">
        <f t="shared" si="153"/>
        <v>14000</v>
      </c>
      <c r="W218" s="1985">
        <f t="shared" si="154"/>
        <v>12612.612612612611</v>
      </c>
      <c r="X218" s="1984">
        <f t="shared" si="155"/>
        <v>14000</v>
      </c>
      <c r="Y218" s="1985">
        <f t="shared" si="155"/>
        <v>12612.612612612611</v>
      </c>
      <c r="Z218" s="1986" t="s">
        <v>1007</v>
      </c>
      <c r="AA218" s="1979">
        <v>320</v>
      </c>
      <c r="AB218" s="1978">
        <f>V218/320</f>
        <v>43.75</v>
      </c>
      <c r="AC218" s="1978">
        <f t="shared" si="161"/>
        <v>38.658655120615009</v>
      </c>
      <c r="AD218" s="1978">
        <f t="shared" si="162"/>
        <v>14000</v>
      </c>
      <c r="AE218" s="1978">
        <f t="shared" si="156"/>
        <v>12370.769638596803</v>
      </c>
    </row>
    <row r="219" spans="1:31" ht="68.25" customHeight="1" x14ac:dyDescent="0.3">
      <c r="A219" s="224"/>
      <c r="B219" s="2119"/>
      <c r="C219" s="2317" t="s">
        <v>569</v>
      </c>
      <c r="D219" s="2323" t="s">
        <v>737</v>
      </c>
      <c r="E219" s="2070"/>
      <c r="F219" s="2071"/>
      <c r="G219" s="2071"/>
      <c r="H219" s="1976">
        <f t="shared" si="150"/>
        <v>0</v>
      </c>
      <c r="I219" s="2120"/>
      <c r="J219" s="1978"/>
      <c r="K219" s="1979">
        <v>0</v>
      </c>
      <c r="L219" s="1978">
        <f t="shared" si="157"/>
        <v>0</v>
      </c>
      <c r="M219" s="1978">
        <f t="shared" si="158"/>
        <v>0</v>
      </c>
      <c r="N219" s="1978">
        <f t="shared" si="159"/>
        <v>0</v>
      </c>
      <c r="O219" s="1980">
        <f t="shared" si="151"/>
        <v>0</v>
      </c>
      <c r="P219" s="1981">
        <f>21500</f>
        <v>21500</v>
      </c>
      <c r="Q219" s="1982"/>
      <c r="R219" s="1982"/>
      <c r="S219" s="1982"/>
      <c r="T219" s="1961">
        <f t="shared" si="152"/>
        <v>21500</v>
      </c>
      <c r="U219" s="1983" t="s">
        <v>637</v>
      </c>
      <c r="V219" s="1984">
        <f t="shared" si="153"/>
        <v>21500</v>
      </c>
      <c r="W219" s="1985">
        <f t="shared" si="154"/>
        <v>19369.369369369368</v>
      </c>
      <c r="X219" s="1984">
        <f t="shared" si="155"/>
        <v>21500</v>
      </c>
      <c r="Y219" s="1985">
        <f t="shared" si="155"/>
        <v>19369.369369369368</v>
      </c>
      <c r="Z219" s="1986" t="s">
        <v>1036</v>
      </c>
      <c r="AA219" s="1979">
        <v>50</v>
      </c>
      <c r="AB219" s="1978">
        <f>V219/50</f>
        <v>430</v>
      </c>
      <c r="AC219" s="1978">
        <f t="shared" si="161"/>
        <v>379.95935318547322</v>
      </c>
      <c r="AD219" s="1978">
        <f t="shared" si="162"/>
        <v>21500</v>
      </c>
      <c r="AE219" s="1978">
        <f t="shared" si="156"/>
        <v>18997.967659273661</v>
      </c>
    </row>
    <row r="220" spans="1:31" ht="24" customHeight="1" thickBot="1" x14ac:dyDescent="0.35">
      <c r="A220" s="224"/>
      <c r="B220" s="2119"/>
      <c r="C220" s="2231"/>
      <c r="D220" s="2324"/>
      <c r="E220" s="2070"/>
      <c r="F220" s="2071"/>
      <c r="G220" s="2071"/>
      <c r="H220" s="2124"/>
      <c r="I220" s="2329"/>
      <c r="J220" s="2330"/>
      <c r="K220" s="2331"/>
      <c r="L220" s="2330"/>
      <c r="M220" s="2330"/>
      <c r="N220" s="2330"/>
      <c r="O220" s="2332"/>
      <c r="P220" s="2333"/>
      <c r="Q220" s="2334"/>
      <c r="R220" s="2334"/>
      <c r="S220" s="2334"/>
      <c r="T220" s="2334"/>
      <c r="U220" s="2335"/>
      <c r="V220" s="2336"/>
      <c r="W220" s="2337"/>
      <c r="X220" s="2336"/>
      <c r="Y220" s="2337"/>
      <c r="Z220" s="2338"/>
      <c r="AA220" s="2331"/>
      <c r="AB220" s="2330"/>
      <c r="AC220" s="2330"/>
      <c r="AD220" s="2330"/>
      <c r="AE220" s="2330"/>
    </row>
    <row r="221" spans="1:31" ht="33.75" customHeight="1" thickBot="1" x14ac:dyDescent="0.35">
      <c r="A221" s="233"/>
      <c r="B221" s="2125" t="s">
        <v>45</v>
      </c>
      <c r="C221" s="2126"/>
      <c r="D221" s="2325"/>
      <c r="E221" s="2127">
        <f>SUM(E214:E219)</f>
        <v>46070</v>
      </c>
      <c r="F221" s="2128">
        <f t="shared" ref="F221:H221" si="163">SUM(F214:F219)</f>
        <v>87010</v>
      </c>
      <c r="G221" s="2128">
        <f t="shared" si="163"/>
        <v>0</v>
      </c>
      <c r="H221" s="2129">
        <f t="shared" si="163"/>
        <v>133080</v>
      </c>
      <c r="I221" s="2348"/>
      <c r="J221" s="2037"/>
      <c r="K221" s="2038"/>
      <c r="L221" s="2037"/>
      <c r="M221" s="2037"/>
      <c r="N221" s="2037">
        <f t="shared" ref="N221:O221" si="164">SUM(N214:N220)</f>
        <v>133080</v>
      </c>
      <c r="O221" s="2039">
        <f t="shared" si="164"/>
        <v>117593.00167889017</v>
      </c>
      <c r="P221" s="2040">
        <f>SUM(P214:P220)</f>
        <v>50500</v>
      </c>
      <c r="Q221" s="2041">
        <f t="shared" ref="Q221:T221" si="165">SUM(Q214:Q220)</f>
        <v>18700</v>
      </c>
      <c r="R221" s="2041">
        <f t="shared" si="165"/>
        <v>9600</v>
      </c>
      <c r="S221" s="2041">
        <f t="shared" si="165"/>
        <v>20000</v>
      </c>
      <c r="T221" s="2041">
        <f t="shared" si="165"/>
        <v>98800</v>
      </c>
      <c r="U221" s="2042"/>
      <c r="V221" s="2040">
        <f t="shared" ref="V221:Y221" si="166">SUM(V214:V220)</f>
        <v>98800</v>
      </c>
      <c r="W221" s="2042">
        <f t="shared" si="166"/>
        <v>89009.009009009009</v>
      </c>
      <c r="X221" s="2040">
        <f t="shared" si="166"/>
        <v>-34280</v>
      </c>
      <c r="Y221" s="2042">
        <f t="shared" si="166"/>
        <v>-28583.992669881172</v>
      </c>
      <c r="Z221" s="2043"/>
      <c r="AA221" s="2038"/>
      <c r="AB221" s="2037"/>
      <c r="AC221" s="2037"/>
      <c r="AD221" s="2037">
        <f t="shared" ref="AD221:AE221" si="167">SUM(AD214:AD220)</f>
        <v>98800</v>
      </c>
      <c r="AE221" s="2037">
        <f t="shared" si="167"/>
        <v>87302.288592383149</v>
      </c>
    </row>
    <row r="222" spans="1:31" ht="9.75" customHeight="1" thickBot="1" x14ac:dyDescent="0.35">
      <c r="A222" s="233"/>
      <c r="B222" s="2130" t="s">
        <v>155</v>
      </c>
      <c r="C222" s="2131"/>
      <c r="D222" s="2132"/>
      <c r="E222" s="2133"/>
      <c r="F222" s="2134"/>
      <c r="G222" s="2134"/>
      <c r="H222" s="2135"/>
      <c r="I222" s="2339"/>
      <c r="J222" s="2340"/>
      <c r="K222" s="2341"/>
      <c r="L222" s="2340"/>
      <c r="M222" s="2340"/>
      <c r="N222" s="2340"/>
      <c r="O222" s="2342"/>
      <c r="P222" s="2343"/>
      <c r="Q222" s="2344"/>
      <c r="R222" s="2344"/>
      <c r="S222" s="2344"/>
      <c r="T222" s="2344"/>
      <c r="U222" s="2345"/>
      <c r="V222" s="2343"/>
      <c r="W222" s="2346"/>
      <c r="X222" s="2343"/>
      <c r="Y222" s="2345"/>
      <c r="Z222" s="2347"/>
      <c r="AA222" s="2341"/>
      <c r="AB222" s="2340"/>
      <c r="AC222" s="2340"/>
      <c r="AD222" s="2340"/>
      <c r="AE222" s="2340"/>
    </row>
    <row r="223" spans="1:31" ht="106.5" customHeight="1" x14ac:dyDescent="0.3">
      <c r="A223" s="224"/>
      <c r="B223" s="2703" t="s">
        <v>277</v>
      </c>
      <c r="C223" s="2680"/>
      <c r="D223" s="2680"/>
      <c r="E223" s="1962"/>
      <c r="F223" s="1963"/>
      <c r="G223" s="1963"/>
      <c r="H223" s="1964"/>
      <c r="I223" s="2120"/>
      <c r="J223" s="1978"/>
      <c r="K223" s="1979"/>
      <c r="L223" s="1978"/>
      <c r="M223" s="1978"/>
      <c r="N223" s="1978"/>
      <c r="O223" s="1980"/>
      <c r="P223" s="2136"/>
      <c r="Q223" s="2137"/>
      <c r="R223" s="2137"/>
      <c r="S223" s="2137"/>
      <c r="T223" s="2137"/>
      <c r="U223" s="2138"/>
      <c r="V223" s="2136"/>
      <c r="W223" s="1985"/>
      <c r="X223" s="2136"/>
      <c r="Y223" s="2138"/>
      <c r="Z223" s="1986"/>
      <c r="AA223" s="1979"/>
      <c r="AB223" s="1978"/>
      <c r="AC223" s="1978"/>
      <c r="AD223" s="1978"/>
      <c r="AE223" s="1978"/>
    </row>
    <row r="224" spans="1:31" ht="96.75" customHeight="1" x14ac:dyDescent="0.3">
      <c r="A224" s="224"/>
      <c r="B224" s="1704"/>
      <c r="C224" s="2294" t="s">
        <v>278</v>
      </c>
      <c r="D224" s="2319" t="s">
        <v>279</v>
      </c>
      <c r="E224" s="2070">
        <f>15600</f>
        <v>15600</v>
      </c>
      <c r="F224" s="2071"/>
      <c r="G224" s="2071"/>
      <c r="H224" s="1976">
        <f t="shared" ref="H224:H231" si="168">SUM(E224:G224)</f>
        <v>15600</v>
      </c>
      <c r="I224" s="2022" t="s">
        <v>280</v>
      </c>
      <c r="J224" s="1978" t="s">
        <v>993</v>
      </c>
      <c r="K224" s="1979">
        <v>120</v>
      </c>
      <c r="L224" s="1978">
        <f>H224/120</f>
        <v>130</v>
      </c>
      <c r="M224" s="1978">
        <f t="shared" ref="M224:M231" si="169">L224/1.1317</f>
        <v>114.87143235839888</v>
      </c>
      <c r="N224" s="1978">
        <f t="shared" ref="N224:N231" si="170">K224*L224</f>
        <v>15600</v>
      </c>
      <c r="O224" s="1980">
        <f t="shared" ref="O224:O231" si="171">N224/1.1317</f>
        <v>13784.571883007866</v>
      </c>
      <c r="P224" s="1981">
        <f>19700</f>
        <v>19700</v>
      </c>
      <c r="Q224" s="1982"/>
      <c r="R224" s="1982"/>
      <c r="S224" s="1982"/>
      <c r="T224" s="1961">
        <f t="shared" ref="T224:T232" si="172">SUM(P224:S224)</f>
        <v>19700</v>
      </c>
      <c r="U224" s="1983" t="s">
        <v>638</v>
      </c>
      <c r="V224" s="1984">
        <f t="shared" ref="V224:V232" si="173">P224+Q224+R224+S224</f>
        <v>19700</v>
      </c>
      <c r="W224" s="1985">
        <f t="shared" ref="W224:W232" si="174">V224/1.11</f>
        <v>17747.747747747748</v>
      </c>
      <c r="X224" s="1984">
        <f t="shared" ref="X224:X232" si="175">V224-N224</f>
        <v>4100</v>
      </c>
      <c r="Y224" s="1985">
        <f t="shared" ref="Y224:Y232" si="176">W224-O224</f>
        <v>3963.1758647398819</v>
      </c>
      <c r="Z224" s="1986" t="s">
        <v>993</v>
      </c>
      <c r="AA224" s="1979">
        <v>30</v>
      </c>
      <c r="AB224" s="1978">
        <f>V224/30</f>
        <v>656.66666666666663</v>
      </c>
      <c r="AC224" s="1978">
        <f t="shared" ref="AC224:AC232" si="177">AB224/1.1317</f>
        <v>580.24800447704047</v>
      </c>
      <c r="AD224" s="1978">
        <f t="shared" ref="AD224:AD232" si="178">AA224*AB224</f>
        <v>19700</v>
      </c>
      <c r="AE224" s="1978">
        <f t="shared" ref="AE224:AE232" si="179">AD224/1.1317</f>
        <v>17407.440134311215</v>
      </c>
    </row>
    <row r="225" spans="1:31" ht="55.5" customHeight="1" x14ac:dyDescent="0.3">
      <c r="A225" s="224"/>
      <c r="B225" s="1092"/>
      <c r="C225" s="2294" t="s">
        <v>539</v>
      </c>
      <c r="D225" s="2320" t="s">
        <v>540</v>
      </c>
      <c r="E225" s="2070"/>
      <c r="F225" s="2071"/>
      <c r="G225" s="2071"/>
      <c r="H225" s="1976">
        <f t="shared" si="168"/>
        <v>0</v>
      </c>
      <c r="I225" s="2022"/>
      <c r="J225" s="1978"/>
      <c r="K225" s="1979">
        <v>0</v>
      </c>
      <c r="L225" s="1978">
        <f t="shared" ref="L225:L229" si="180">H225/80</f>
        <v>0</v>
      </c>
      <c r="M225" s="1978">
        <f t="shared" si="169"/>
        <v>0</v>
      </c>
      <c r="N225" s="1978">
        <f t="shared" si="170"/>
        <v>0</v>
      </c>
      <c r="O225" s="1980">
        <f t="shared" si="171"/>
        <v>0</v>
      </c>
      <c r="P225" s="2025"/>
      <c r="Q225" s="1982"/>
      <c r="R225" s="1982"/>
      <c r="S225" s="1982">
        <f>2400</f>
        <v>2400</v>
      </c>
      <c r="T225" s="1961">
        <f t="shared" si="172"/>
        <v>2400</v>
      </c>
      <c r="U225" s="1983" t="s">
        <v>541</v>
      </c>
      <c r="V225" s="1984">
        <f t="shared" si="173"/>
        <v>2400</v>
      </c>
      <c r="W225" s="1985">
        <f t="shared" si="174"/>
        <v>2162.1621621621621</v>
      </c>
      <c r="X225" s="1984">
        <f t="shared" si="175"/>
        <v>2400</v>
      </c>
      <c r="Y225" s="1985">
        <f t="shared" si="176"/>
        <v>2162.1621621621621</v>
      </c>
      <c r="Z225" s="1986" t="s">
        <v>997</v>
      </c>
      <c r="AA225" s="1979">
        <v>300</v>
      </c>
      <c r="AB225" s="1978">
        <f>V225/300</f>
        <v>8</v>
      </c>
      <c r="AC225" s="1978">
        <f t="shared" si="177"/>
        <v>7.0690112220553152</v>
      </c>
      <c r="AD225" s="1978">
        <f t="shared" si="178"/>
        <v>2400</v>
      </c>
      <c r="AE225" s="1978">
        <f t="shared" si="179"/>
        <v>2120.7033666165948</v>
      </c>
    </row>
    <row r="226" spans="1:31" ht="66" customHeight="1" x14ac:dyDescent="0.3">
      <c r="A226" s="224"/>
      <c r="B226" s="1092"/>
      <c r="C226" s="2294" t="s">
        <v>281</v>
      </c>
      <c r="D226" s="2320" t="s">
        <v>639</v>
      </c>
      <c r="E226" s="2070">
        <f>22875</f>
        <v>22875</v>
      </c>
      <c r="F226" s="2071">
        <f>29775</f>
        <v>29775</v>
      </c>
      <c r="G226" s="2071"/>
      <c r="H226" s="1976">
        <f t="shared" si="168"/>
        <v>52650</v>
      </c>
      <c r="I226" s="2022" t="s">
        <v>334</v>
      </c>
      <c r="J226" s="1978" t="s">
        <v>1015</v>
      </c>
      <c r="K226" s="1979">
        <v>6</v>
      </c>
      <c r="L226" s="1978">
        <f>H226/6</f>
        <v>8775</v>
      </c>
      <c r="M226" s="1978">
        <f t="shared" si="169"/>
        <v>7753.8216841919239</v>
      </c>
      <c r="N226" s="1978">
        <f t="shared" si="170"/>
        <v>52650</v>
      </c>
      <c r="O226" s="1980">
        <f t="shared" si="171"/>
        <v>46522.930105151543</v>
      </c>
      <c r="P226" s="1981">
        <v>15100</v>
      </c>
      <c r="Q226" s="1982">
        <v>50800</v>
      </c>
      <c r="R226" s="1982"/>
      <c r="S226" s="1982"/>
      <c r="T226" s="1961">
        <f t="shared" si="172"/>
        <v>65900</v>
      </c>
      <c r="U226" s="1983" t="s">
        <v>640</v>
      </c>
      <c r="V226" s="1984">
        <f t="shared" si="173"/>
        <v>65900</v>
      </c>
      <c r="W226" s="1985">
        <f t="shared" si="174"/>
        <v>59369.369369369364</v>
      </c>
      <c r="X226" s="1984">
        <f t="shared" si="175"/>
        <v>13250</v>
      </c>
      <c r="Y226" s="1985">
        <f t="shared" si="176"/>
        <v>12846.439264217821</v>
      </c>
      <c r="Z226" s="1986" t="s">
        <v>1015</v>
      </c>
      <c r="AA226" s="1979">
        <v>12</v>
      </c>
      <c r="AB226" s="1978">
        <f>V226/12</f>
        <v>5491.666666666667</v>
      </c>
      <c r="AC226" s="1978">
        <f t="shared" si="177"/>
        <v>4852.581661806722</v>
      </c>
      <c r="AD226" s="1978">
        <f t="shared" si="178"/>
        <v>65900</v>
      </c>
      <c r="AE226" s="1978">
        <f t="shared" si="179"/>
        <v>58230.979941680664</v>
      </c>
    </row>
    <row r="227" spans="1:31" ht="125.25" customHeight="1" x14ac:dyDescent="0.3">
      <c r="A227" s="224"/>
      <c r="B227" s="1092"/>
      <c r="C227" s="2294" t="s">
        <v>282</v>
      </c>
      <c r="D227" s="2320" t="s">
        <v>283</v>
      </c>
      <c r="E227" s="2070">
        <f>39020</f>
        <v>39020</v>
      </c>
      <c r="F227" s="2071"/>
      <c r="G227" s="2071"/>
      <c r="H227" s="1976">
        <f t="shared" si="168"/>
        <v>39020</v>
      </c>
      <c r="I227" s="2022" t="s">
        <v>1023</v>
      </c>
      <c r="J227" s="1978" t="s">
        <v>1015</v>
      </c>
      <c r="K227" s="1979">
        <v>20</v>
      </c>
      <c r="L227" s="1978">
        <f>H227/20</f>
        <v>1951</v>
      </c>
      <c r="M227" s="1978">
        <f t="shared" si="169"/>
        <v>1723.95511177874</v>
      </c>
      <c r="N227" s="1978">
        <f t="shared" si="170"/>
        <v>39020</v>
      </c>
      <c r="O227" s="1980">
        <f t="shared" si="171"/>
        <v>34479.102235574799</v>
      </c>
      <c r="P227" s="1981">
        <f>11200</f>
        <v>11200</v>
      </c>
      <c r="Q227" s="1982">
        <f>27000</f>
        <v>27000</v>
      </c>
      <c r="R227" s="1982"/>
      <c r="S227" s="1982"/>
      <c r="T227" s="1961">
        <f t="shared" si="172"/>
        <v>38200</v>
      </c>
      <c r="U227" s="1983" t="s">
        <v>785</v>
      </c>
      <c r="V227" s="1984">
        <f t="shared" si="173"/>
        <v>38200</v>
      </c>
      <c r="W227" s="1985">
        <f t="shared" si="174"/>
        <v>34414.414414414408</v>
      </c>
      <c r="X227" s="1984">
        <f t="shared" si="175"/>
        <v>-820</v>
      </c>
      <c r="Y227" s="1985">
        <f t="shared" si="176"/>
        <v>-64.68782116039074</v>
      </c>
      <c r="Z227" s="1986" t="s">
        <v>1015</v>
      </c>
      <c r="AA227" s="1979">
        <v>20</v>
      </c>
      <c r="AB227" s="1978">
        <f>V227/20</f>
        <v>1910</v>
      </c>
      <c r="AC227" s="1978">
        <f t="shared" si="177"/>
        <v>1687.7264292657067</v>
      </c>
      <c r="AD227" s="1978">
        <f t="shared" si="178"/>
        <v>38200</v>
      </c>
      <c r="AE227" s="1978">
        <f t="shared" si="179"/>
        <v>33754.528585314132</v>
      </c>
    </row>
    <row r="228" spans="1:31" ht="96" customHeight="1" x14ac:dyDescent="0.3">
      <c r="A228" s="224"/>
      <c r="B228" s="1092"/>
      <c r="C228" s="2294" t="s">
        <v>284</v>
      </c>
      <c r="D228" s="2320" t="s">
        <v>641</v>
      </c>
      <c r="E228" s="2070">
        <f>34461.2</f>
        <v>34461.199999999997</v>
      </c>
      <c r="F228" s="2071"/>
      <c r="G228" s="2071"/>
      <c r="H228" s="1976">
        <f t="shared" si="168"/>
        <v>34461.199999999997</v>
      </c>
      <c r="I228" s="2022" t="s">
        <v>285</v>
      </c>
      <c r="J228" s="1978" t="s">
        <v>993</v>
      </c>
      <c r="K228" s="1979">
        <v>50</v>
      </c>
      <c r="L228" s="1978">
        <f>H228/50</f>
        <v>689.22399999999993</v>
      </c>
      <c r="M228" s="1978">
        <f t="shared" si="169"/>
        <v>609.01652381373151</v>
      </c>
      <c r="N228" s="1978">
        <f t="shared" si="170"/>
        <v>34461.199999999997</v>
      </c>
      <c r="O228" s="1980">
        <f t="shared" si="171"/>
        <v>30450.826190686577</v>
      </c>
      <c r="P228" s="1981">
        <f>43900</f>
        <v>43900</v>
      </c>
      <c r="Q228" s="1982">
        <v>23100</v>
      </c>
      <c r="R228" s="1982">
        <v>4000</v>
      </c>
      <c r="S228" s="1982"/>
      <c r="T228" s="1961">
        <f t="shared" si="172"/>
        <v>71000</v>
      </c>
      <c r="U228" s="1983" t="s">
        <v>786</v>
      </c>
      <c r="V228" s="1984">
        <f t="shared" si="173"/>
        <v>71000</v>
      </c>
      <c r="W228" s="1985">
        <f t="shared" si="174"/>
        <v>63963.963963963957</v>
      </c>
      <c r="X228" s="1984">
        <f t="shared" si="175"/>
        <v>36538.800000000003</v>
      </c>
      <c r="Y228" s="1985">
        <f t="shared" si="176"/>
        <v>33513.137773277384</v>
      </c>
      <c r="Z228" s="1986" t="s">
        <v>993</v>
      </c>
      <c r="AA228" s="1979">
        <v>55</v>
      </c>
      <c r="AB228" s="1978">
        <f>V228/55</f>
        <v>1290.909090909091</v>
      </c>
      <c r="AC228" s="1978">
        <f t="shared" si="177"/>
        <v>1140.6813562861987</v>
      </c>
      <c r="AD228" s="1978">
        <f t="shared" si="178"/>
        <v>71000</v>
      </c>
      <c r="AE228" s="1978">
        <f t="shared" si="179"/>
        <v>62737.474595740925</v>
      </c>
    </row>
    <row r="229" spans="1:31" ht="74.25" customHeight="1" x14ac:dyDescent="0.3">
      <c r="A229" s="224"/>
      <c r="B229" s="1303"/>
      <c r="C229" s="1338" t="s">
        <v>707</v>
      </c>
      <c r="D229" s="2322" t="s">
        <v>706</v>
      </c>
      <c r="E229" s="2070"/>
      <c r="F229" s="2071"/>
      <c r="G229" s="2071"/>
      <c r="H229" s="1976">
        <f t="shared" si="168"/>
        <v>0</v>
      </c>
      <c r="I229" s="2022"/>
      <c r="J229" s="1978"/>
      <c r="K229" s="1979">
        <v>0</v>
      </c>
      <c r="L229" s="1978">
        <f t="shared" si="180"/>
        <v>0</v>
      </c>
      <c r="M229" s="1978">
        <f t="shared" si="169"/>
        <v>0</v>
      </c>
      <c r="N229" s="1978">
        <f t="shared" si="170"/>
        <v>0</v>
      </c>
      <c r="O229" s="1980">
        <f t="shared" si="171"/>
        <v>0</v>
      </c>
      <c r="P229" s="2025"/>
      <c r="Q229" s="2026"/>
      <c r="R229" s="2026">
        <f>4000</f>
        <v>4000</v>
      </c>
      <c r="S229" s="2026">
        <f>5600</f>
        <v>5600</v>
      </c>
      <c r="T229" s="1961">
        <f t="shared" si="172"/>
        <v>9600</v>
      </c>
      <c r="U229" s="1983" t="s">
        <v>724</v>
      </c>
      <c r="V229" s="1984">
        <f t="shared" si="173"/>
        <v>9600</v>
      </c>
      <c r="W229" s="1985">
        <f t="shared" si="174"/>
        <v>8648.6486486486483</v>
      </c>
      <c r="X229" s="1984">
        <f t="shared" si="175"/>
        <v>9600</v>
      </c>
      <c r="Y229" s="1985">
        <f t="shared" si="176"/>
        <v>8648.6486486486483</v>
      </c>
      <c r="Z229" s="1986" t="s">
        <v>1036</v>
      </c>
      <c r="AA229" s="1979">
        <v>160</v>
      </c>
      <c r="AB229" s="1978">
        <f>V229/160</f>
        <v>60</v>
      </c>
      <c r="AC229" s="1978">
        <f t="shared" si="177"/>
        <v>53.017584165414867</v>
      </c>
      <c r="AD229" s="1978">
        <f t="shared" si="178"/>
        <v>9600</v>
      </c>
      <c r="AE229" s="1978">
        <f t="shared" si="179"/>
        <v>8482.8134664663794</v>
      </c>
    </row>
    <row r="230" spans="1:31" ht="68.25" customHeight="1" x14ac:dyDescent="0.3">
      <c r="A230" s="224"/>
      <c r="B230" s="1092"/>
      <c r="C230" s="2294" t="s">
        <v>286</v>
      </c>
      <c r="D230" s="2320" t="s">
        <v>287</v>
      </c>
      <c r="E230" s="2070">
        <f>3750</f>
        <v>3750</v>
      </c>
      <c r="F230" s="2071">
        <f>10107</f>
        <v>10107</v>
      </c>
      <c r="G230" s="2071"/>
      <c r="H230" s="1976">
        <f t="shared" si="168"/>
        <v>13857</v>
      </c>
      <c r="I230" s="2022" t="s">
        <v>288</v>
      </c>
      <c r="J230" s="1978" t="s">
        <v>993</v>
      </c>
      <c r="K230" s="1979">
        <v>120</v>
      </c>
      <c r="L230" s="1978">
        <f>H230/120</f>
        <v>115.47499999999999</v>
      </c>
      <c r="M230" s="1978">
        <f t="shared" si="169"/>
        <v>102.03675885835469</v>
      </c>
      <c r="N230" s="1978">
        <f t="shared" si="170"/>
        <v>13857</v>
      </c>
      <c r="O230" s="1980">
        <f t="shared" si="171"/>
        <v>12244.411063002563</v>
      </c>
      <c r="P230" s="1981">
        <f>4300</f>
        <v>4300</v>
      </c>
      <c r="Q230" s="1982">
        <f>2800</f>
        <v>2800</v>
      </c>
      <c r="R230" s="1982"/>
      <c r="S230" s="1982"/>
      <c r="T230" s="1961">
        <f t="shared" si="172"/>
        <v>7100</v>
      </c>
      <c r="U230" s="1983" t="s">
        <v>642</v>
      </c>
      <c r="V230" s="1984">
        <f t="shared" si="173"/>
        <v>7100</v>
      </c>
      <c r="W230" s="1985">
        <f t="shared" si="174"/>
        <v>6396.3963963963961</v>
      </c>
      <c r="X230" s="1984">
        <f t="shared" si="175"/>
        <v>-6757</v>
      </c>
      <c r="Y230" s="1985">
        <f t="shared" si="176"/>
        <v>-5848.0146666061664</v>
      </c>
      <c r="Z230" s="1986" t="s">
        <v>993</v>
      </c>
      <c r="AA230" s="1979">
        <v>120</v>
      </c>
      <c r="AB230" s="1978">
        <f>V230/120</f>
        <v>59.166666666666664</v>
      </c>
      <c r="AC230" s="1978">
        <f t="shared" si="177"/>
        <v>52.281228829784105</v>
      </c>
      <c r="AD230" s="1978">
        <f t="shared" si="178"/>
        <v>7100</v>
      </c>
      <c r="AE230" s="1978">
        <f t="shared" si="179"/>
        <v>6273.7474595740923</v>
      </c>
    </row>
    <row r="231" spans="1:31" ht="108.75" customHeight="1" x14ac:dyDescent="0.3">
      <c r="A231" s="224"/>
      <c r="B231" s="1092"/>
      <c r="C231" s="2294" t="s">
        <v>289</v>
      </c>
      <c r="D231" s="2320" t="s">
        <v>290</v>
      </c>
      <c r="E231" s="2070">
        <f>24400</f>
        <v>24400</v>
      </c>
      <c r="F231" s="2071">
        <f>12697</f>
        <v>12697</v>
      </c>
      <c r="G231" s="2071"/>
      <c r="H231" s="1976">
        <f t="shared" si="168"/>
        <v>37097</v>
      </c>
      <c r="I231" s="2022" t="s">
        <v>340</v>
      </c>
      <c r="J231" s="1978" t="s">
        <v>993</v>
      </c>
      <c r="K231" s="1979">
        <v>60</v>
      </c>
      <c r="L231" s="1978">
        <f>H231/60</f>
        <v>618.2833333333333</v>
      </c>
      <c r="M231" s="1978">
        <f t="shared" si="169"/>
        <v>546.33147771788754</v>
      </c>
      <c r="N231" s="1978">
        <f t="shared" si="170"/>
        <v>37097</v>
      </c>
      <c r="O231" s="1980">
        <f t="shared" si="171"/>
        <v>32779.888663073252</v>
      </c>
      <c r="P231" s="1981">
        <v>42900</v>
      </c>
      <c r="Q231" s="1982"/>
      <c r="R231" s="1982"/>
      <c r="S231" s="1982"/>
      <c r="T231" s="1961">
        <f t="shared" si="172"/>
        <v>42900</v>
      </c>
      <c r="U231" s="1983" t="s">
        <v>643</v>
      </c>
      <c r="V231" s="1984">
        <f t="shared" si="173"/>
        <v>42900</v>
      </c>
      <c r="W231" s="1985">
        <f t="shared" si="174"/>
        <v>38648.648648648646</v>
      </c>
      <c r="X231" s="1984">
        <f t="shared" si="175"/>
        <v>5803</v>
      </c>
      <c r="Y231" s="1985">
        <f t="shared" si="176"/>
        <v>5868.7599855753942</v>
      </c>
      <c r="Z231" s="1986" t="s">
        <v>993</v>
      </c>
      <c r="AA231" s="1979">
        <v>60</v>
      </c>
      <c r="AB231" s="1978">
        <f>V231/60</f>
        <v>715</v>
      </c>
      <c r="AC231" s="1978">
        <f t="shared" si="177"/>
        <v>631.79287797119378</v>
      </c>
      <c r="AD231" s="1978">
        <f t="shared" si="178"/>
        <v>42900</v>
      </c>
      <c r="AE231" s="1978">
        <f t="shared" si="179"/>
        <v>37907.57267827163</v>
      </c>
    </row>
    <row r="232" spans="1:31" ht="76.5" customHeight="1" thickBot="1" x14ac:dyDescent="0.35">
      <c r="A232" s="224"/>
      <c r="B232" s="1337"/>
      <c r="C232" s="2241" t="s">
        <v>708</v>
      </c>
      <c r="D232" s="2320" t="s">
        <v>990</v>
      </c>
      <c r="E232" s="2139"/>
      <c r="F232" s="2140"/>
      <c r="G232" s="2140"/>
      <c r="H232" s="1989"/>
      <c r="I232" s="2022"/>
      <c r="J232" s="1990"/>
      <c r="K232" s="1990"/>
      <c r="L232" s="1990"/>
      <c r="M232" s="1990"/>
      <c r="N232" s="1990"/>
      <c r="O232" s="1992"/>
      <c r="P232" s="2141"/>
      <c r="Q232" s="2142"/>
      <c r="R232" s="2142"/>
      <c r="S232" s="2030">
        <f>11200</f>
        <v>11200</v>
      </c>
      <c r="T232" s="1994">
        <f t="shared" si="172"/>
        <v>11200</v>
      </c>
      <c r="U232" s="2031" t="s">
        <v>878</v>
      </c>
      <c r="V232" s="1996">
        <f t="shared" si="173"/>
        <v>11200</v>
      </c>
      <c r="W232" s="1997">
        <f t="shared" si="174"/>
        <v>10090.090090090089</v>
      </c>
      <c r="X232" s="1984">
        <f t="shared" si="175"/>
        <v>11200</v>
      </c>
      <c r="Y232" s="1985">
        <f t="shared" si="176"/>
        <v>10090.090090090089</v>
      </c>
      <c r="Z232" s="1986" t="s">
        <v>993</v>
      </c>
      <c r="AA232" s="1991">
        <v>160</v>
      </c>
      <c r="AB232" s="1990">
        <f>V232/160</f>
        <v>70</v>
      </c>
      <c r="AC232" s="1990">
        <f t="shared" si="177"/>
        <v>61.85384819298401</v>
      </c>
      <c r="AD232" s="1990">
        <f t="shared" si="178"/>
        <v>11200</v>
      </c>
      <c r="AE232" s="1978">
        <f t="shared" si="179"/>
        <v>9896.6157108774423</v>
      </c>
    </row>
    <row r="233" spans="1:31" ht="33.75" customHeight="1" thickBot="1" x14ac:dyDescent="0.35">
      <c r="A233" s="224"/>
      <c r="B233" s="2143" t="s">
        <v>45</v>
      </c>
      <c r="C233" s="2144"/>
      <c r="D233" s="2326"/>
      <c r="E233" s="2145">
        <f>SUM(E224:E232)</f>
        <v>140106.20000000001</v>
      </c>
      <c r="F233" s="2146">
        <f t="shared" ref="F233:H233" si="181">SUM(F224:F232)</f>
        <v>52579</v>
      </c>
      <c r="G233" s="2146">
        <f t="shared" si="181"/>
        <v>0</v>
      </c>
      <c r="H233" s="2147">
        <f t="shared" si="181"/>
        <v>192685.2</v>
      </c>
      <c r="I233" s="2037"/>
      <c r="J233" s="2037"/>
      <c r="K233" s="2037"/>
      <c r="L233" s="2037"/>
      <c r="M233" s="2037"/>
      <c r="N233" s="2037">
        <f t="shared" ref="N233" si="182">SUM(N224:N232)</f>
        <v>192685.2</v>
      </c>
      <c r="O233" s="2039">
        <f>SUM(O224:O232)+0.27</f>
        <v>170262.00014049659</v>
      </c>
      <c r="P233" s="2040">
        <f>SUM(P224:P232)</f>
        <v>137100</v>
      </c>
      <c r="Q233" s="2041">
        <f t="shared" ref="Q233:T233" si="183">SUM(Q224:Q232)</f>
        <v>103700</v>
      </c>
      <c r="R233" s="2041">
        <f t="shared" si="183"/>
        <v>8000</v>
      </c>
      <c r="S233" s="2041">
        <f t="shared" si="183"/>
        <v>19200</v>
      </c>
      <c r="T233" s="2041">
        <f t="shared" si="183"/>
        <v>268000</v>
      </c>
      <c r="U233" s="2042"/>
      <c r="V233" s="2040">
        <f t="shared" ref="V233:W233" si="184">SUM(V224:V232)</f>
        <v>268000</v>
      </c>
      <c r="W233" s="2042">
        <f t="shared" si="184"/>
        <v>241441.44144144139</v>
      </c>
      <c r="X233" s="2040">
        <f>P233/1.11</f>
        <v>123513.51351351351</v>
      </c>
      <c r="Y233" s="2042">
        <f>Q233/1.11</f>
        <v>93423.423423423417</v>
      </c>
      <c r="Z233" s="2043"/>
      <c r="AA233" s="2037"/>
      <c r="AB233" s="2037"/>
      <c r="AC233" s="2037"/>
      <c r="AD233" s="2037">
        <f t="shared" ref="AD233:AE233" si="185">SUM(AD224:AD232)</f>
        <v>268000</v>
      </c>
      <c r="AE233" s="2037">
        <f t="shared" si="185"/>
        <v>236811.87593885305</v>
      </c>
    </row>
    <row r="234" spans="1:31" ht="33.75" customHeight="1" thickBot="1" x14ac:dyDescent="0.35">
      <c r="A234" s="224"/>
      <c r="B234" s="2148"/>
      <c r="C234" s="2149"/>
      <c r="D234" s="2327" t="s">
        <v>1034</v>
      </c>
      <c r="E234" s="2150"/>
      <c r="F234" s="2151"/>
      <c r="G234" s="2151"/>
      <c r="H234" s="2152"/>
      <c r="I234" s="2153"/>
      <c r="J234" s="2154"/>
      <c r="K234" s="2154"/>
      <c r="L234" s="2154"/>
      <c r="M234" s="2154"/>
      <c r="N234" s="2154">
        <f>N221+N233</f>
        <v>325765.2</v>
      </c>
      <c r="O234" s="2155">
        <f>O221+O233</f>
        <v>287855.00181938673</v>
      </c>
      <c r="P234" s="2156"/>
      <c r="Q234" s="2157"/>
      <c r="R234" s="2157"/>
      <c r="S234" s="2157"/>
      <c r="T234" s="2157">
        <f>T221+T233</f>
        <v>366800</v>
      </c>
      <c r="U234" s="2158"/>
      <c r="V234" s="2156">
        <f>V221+V233</f>
        <v>366800</v>
      </c>
      <c r="W234" s="2158">
        <f>W221+W233</f>
        <v>330450.45045045041</v>
      </c>
      <c r="X234" s="2156">
        <f>X221+X233</f>
        <v>89233.513513513506</v>
      </c>
      <c r="Y234" s="2158">
        <f>Y221+Y233</f>
        <v>64839.430753542241</v>
      </c>
      <c r="Z234" s="2159"/>
      <c r="AA234" s="2154"/>
      <c r="AB234" s="2154"/>
      <c r="AC234" s="2154"/>
      <c r="AD234" s="2154">
        <f>AD221+AD233</f>
        <v>366800</v>
      </c>
      <c r="AE234" s="2154">
        <f>AE221+AE233</f>
        <v>324114.16453123617</v>
      </c>
    </row>
    <row r="235" spans="1:31" ht="34.5" customHeight="1" thickBot="1" x14ac:dyDescent="0.35">
      <c r="A235" s="224"/>
      <c r="B235" s="1337"/>
      <c r="C235" s="1338"/>
      <c r="D235" s="2328"/>
      <c r="E235" s="1165"/>
      <c r="F235" s="998"/>
      <c r="G235" s="998"/>
      <c r="H235" s="1166"/>
      <c r="I235" s="2047"/>
      <c r="J235" s="2047"/>
      <c r="K235" s="2047"/>
      <c r="L235" s="2047"/>
      <c r="M235" s="2047"/>
      <c r="N235" s="2047"/>
      <c r="O235" s="2049"/>
      <c r="P235" s="1553"/>
      <c r="Q235" s="1554"/>
      <c r="R235" s="1554"/>
      <c r="S235" s="1554"/>
      <c r="T235" s="1554"/>
      <c r="U235" s="2160"/>
      <c r="V235" s="2161"/>
      <c r="W235" s="2160"/>
      <c r="X235" s="2161"/>
      <c r="Y235" s="2160"/>
      <c r="Z235" s="2351"/>
      <c r="AA235" s="2352"/>
      <c r="AB235" s="2352"/>
      <c r="AC235" s="2352"/>
      <c r="AD235" s="2352"/>
      <c r="AE235" s="2352"/>
    </row>
    <row r="236" spans="1:31" ht="40.5" customHeight="1" thickBot="1" x14ac:dyDescent="0.35">
      <c r="A236" s="381"/>
      <c r="B236" s="2163" t="s">
        <v>291</v>
      </c>
      <c r="C236" s="2164"/>
      <c r="D236" s="2164"/>
      <c r="E236" s="2165">
        <f>SUM(E28+E43+E64+E75+E82+E114+E122+E153+E208+E221+E233)</f>
        <v>1888785.11</v>
      </c>
      <c r="F236" s="2166">
        <f>SUM(F28+F43+F64+F75+F82+F114+F122+F153+F208+F221+F233)</f>
        <v>1142251.1299999999</v>
      </c>
      <c r="G236" s="2166">
        <f>SUM(G28+G43+G64+G75+G82+G114+G122+G153+G208+G221+G233)</f>
        <v>274626.66000000003</v>
      </c>
      <c r="H236" s="2167">
        <f>SUM(H28+H43+H64+H75+H82+H114+H122+H153+H208+H221+H233)</f>
        <v>3305662.9000000004</v>
      </c>
      <c r="I236" s="2168"/>
      <c r="J236" s="2169"/>
      <c r="K236" s="2169"/>
      <c r="L236" s="2169"/>
      <c r="M236" s="2169"/>
      <c r="N236" s="901">
        <f t="shared" ref="N236:T236" si="186">SUM(N28+N43+N64+N75+N82+N114+N122+N153+N208+N221+N233)</f>
        <v>3305662.9000000004</v>
      </c>
      <c r="O236" s="2170">
        <f>SUM(O28+O43+O64+O75+O82+O114+O122+O153+O208+O221+O233)+1.86</f>
        <v>2920971.9970539892</v>
      </c>
      <c r="P236" s="2171">
        <f t="shared" si="186"/>
        <v>1652767.7</v>
      </c>
      <c r="Q236" s="2172">
        <f t="shared" si="186"/>
        <v>1579446.8399999999</v>
      </c>
      <c r="R236" s="2172">
        <f t="shared" si="186"/>
        <v>935986.41</v>
      </c>
      <c r="S236" s="2172">
        <f t="shared" si="186"/>
        <v>826586.7</v>
      </c>
      <c r="T236" s="2172">
        <f t="shared" si="186"/>
        <v>4994787.6500000004</v>
      </c>
      <c r="U236" s="2173"/>
      <c r="V236" s="2171">
        <f>SUM(V28+V43+V64+V75+V82+V114+V122+V153+V208+V221+V233)</f>
        <v>4994787.6500000004</v>
      </c>
      <c r="W236" s="2174">
        <f>SUM(W28+W43+W64+W75+W82+W114+W122+W153+W208+W221+W233)</f>
        <v>4499808.6936936928</v>
      </c>
      <c r="X236" s="2171">
        <f>SUM(X28+X43+X64+X75+X82+X114+X122+X153+X208+X221+X233)</f>
        <v>1755323.4635135138</v>
      </c>
      <c r="Y236" s="2174">
        <f>SUM(Y28+Y43+Y64+Y75+Y82+Y114+Y122+Y153+Y208+Y221+Y233)</f>
        <v>1616986.6640118067</v>
      </c>
      <c r="Z236" s="2353"/>
      <c r="AA236" s="2353"/>
      <c r="AB236" s="2353"/>
      <c r="AC236" s="2353"/>
      <c r="AD236" s="2354">
        <f>SUM(AD28+AD43+AD64+AD75+AD82+AD114+AD122+AD153+AD208+AD221+AD233)+0.3</f>
        <v>4994787.95</v>
      </c>
      <c r="AE236" s="2355">
        <f>SUM(AE28+AE43+AE64+AE75+AE82+AE114+AE122+AE153+AE208+AE221+AE233)+0.3</f>
        <v>4413526.5437041624</v>
      </c>
    </row>
    <row r="237" spans="1:31" ht="33.75" customHeight="1" thickBot="1" x14ac:dyDescent="0.35">
      <c r="A237" s="7"/>
      <c r="B237" s="2175" t="s">
        <v>292</v>
      </c>
      <c r="C237" s="2176"/>
      <c r="D237" s="2177"/>
      <c r="E237" s="2178">
        <f>132214.96</f>
        <v>132214.96</v>
      </c>
      <c r="F237" s="2178">
        <f>79957.58</f>
        <v>79957.58</v>
      </c>
      <c r="G237" s="2178">
        <f>19223.87</f>
        <v>19223.87</v>
      </c>
      <c r="H237" s="2178">
        <f t="shared" ref="H237" si="187">SUM(E237:G237)</f>
        <v>231396.40999999997</v>
      </c>
      <c r="I237" s="2178"/>
      <c r="J237" s="2178"/>
      <c r="K237" s="2178"/>
      <c r="L237" s="2178"/>
      <c r="M237" s="2178"/>
      <c r="N237" s="2178">
        <v>231396</v>
      </c>
      <c r="O237" s="2179">
        <f>N237/1.1317+0.02</f>
        <v>204467.63509233895</v>
      </c>
      <c r="P237" s="2180">
        <f>87473.04</f>
        <v>87473.04</v>
      </c>
      <c r="Q237" s="2181">
        <f>76426.52</f>
        <v>76426.52</v>
      </c>
      <c r="R237" s="2181">
        <f>40000</f>
        <v>40000</v>
      </c>
      <c r="S237" s="2181">
        <f>35000</f>
        <v>35000</v>
      </c>
      <c r="T237" s="2181">
        <f>SUM(P237:S237)</f>
        <v>238899.56</v>
      </c>
      <c r="U237" s="2182"/>
      <c r="V237" s="2180">
        <f>T237</f>
        <v>238899.56</v>
      </c>
      <c r="W237" s="2361"/>
      <c r="X237" s="2180"/>
      <c r="Y237" s="2361"/>
      <c r="Z237" s="2362"/>
      <c r="AA237" s="2363"/>
      <c r="AB237" s="2363"/>
      <c r="AC237" s="2363"/>
      <c r="AD237" s="2181">
        <f>V237</f>
        <v>238899.56</v>
      </c>
      <c r="AE237" s="2363">
        <f>AD237/1.1317</f>
        <v>211097.95882300966</v>
      </c>
    </row>
    <row r="238" spans="1:31" ht="21" thickBot="1" x14ac:dyDescent="0.35">
      <c r="A238" s="7"/>
      <c r="B238" s="2183"/>
      <c r="C238" s="1558"/>
      <c r="D238" s="1140"/>
      <c r="E238" s="2184"/>
      <c r="F238" s="2185"/>
      <c r="G238" s="2185"/>
      <c r="H238" s="2186"/>
      <c r="I238" s="5"/>
      <c r="J238" s="2187"/>
      <c r="K238" s="2187"/>
      <c r="L238" s="2187"/>
      <c r="M238" s="2187"/>
      <c r="N238" s="2187"/>
      <c r="O238" s="1480"/>
      <c r="P238" s="1557"/>
      <c r="Q238" s="1558"/>
      <c r="R238" s="1558"/>
      <c r="S238" s="1558"/>
      <c r="T238" s="1558"/>
      <c r="U238" s="2188"/>
      <c r="V238" s="2189"/>
      <c r="W238" s="2356"/>
      <c r="X238" s="2357"/>
      <c r="Y238" s="2358"/>
      <c r="Z238" s="2359"/>
      <c r="AA238" s="2360"/>
      <c r="AB238" s="2360"/>
      <c r="AC238" s="2360"/>
      <c r="AD238" s="2360"/>
      <c r="AE238" s="2360"/>
    </row>
    <row r="239" spans="1:31" ht="34.5" customHeight="1" thickBot="1" x14ac:dyDescent="0.35">
      <c r="A239" s="7"/>
      <c r="B239" s="2190" t="s">
        <v>293</v>
      </c>
      <c r="C239" s="2191"/>
      <c r="D239" s="2192"/>
      <c r="E239" s="2193">
        <f t="shared" ref="E239:M239" si="188">E236+E237</f>
        <v>2021000.07</v>
      </c>
      <c r="F239" s="2193">
        <f t="shared" si="188"/>
        <v>1222208.71</v>
      </c>
      <c r="G239" s="2193">
        <f t="shared" si="188"/>
        <v>293850.53000000003</v>
      </c>
      <c r="H239" s="2193">
        <f>H236+H237+0.69</f>
        <v>3537060.0000000005</v>
      </c>
      <c r="I239" s="2193">
        <f t="shared" si="188"/>
        <v>0</v>
      </c>
      <c r="J239" s="2193">
        <f t="shared" si="188"/>
        <v>0</v>
      </c>
      <c r="K239" s="2193">
        <f t="shared" si="188"/>
        <v>0</v>
      </c>
      <c r="L239" s="2193">
        <f t="shared" si="188"/>
        <v>0</v>
      </c>
      <c r="M239" s="2193">
        <f t="shared" si="188"/>
        <v>0</v>
      </c>
      <c r="N239" s="2193">
        <f t="shared" ref="N239:T239" si="189">N236+N237</f>
        <v>3537058.9000000004</v>
      </c>
      <c r="O239" s="2530">
        <f t="shared" si="189"/>
        <v>3125439.6321463282</v>
      </c>
      <c r="P239" s="2194">
        <f t="shared" si="189"/>
        <v>1740240.74</v>
      </c>
      <c r="Q239" s="2195">
        <f t="shared" si="189"/>
        <v>1655873.3599999999</v>
      </c>
      <c r="R239" s="2195">
        <f t="shared" si="189"/>
        <v>975986.41</v>
      </c>
      <c r="S239" s="2195">
        <f t="shared" si="189"/>
        <v>861586.7</v>
      </c>
      <c r="T239" s="2195">
        <f t="shared" si="189"/>
        <v>5233687.21</v>
      </c>
      <c r="U239" s="2196"/>
      <c r="V239" s="2194">
        <f>V236+V237</f>
        <v>5233687.21</v>
      </c>
      <c r="W239" s="2197">
        <f>V239/1.1317+0.4</f>
        <v>4624624.6025271723</v>
      </c>
      <c r="X239" s="2194">
        <f t="shared" ref="X239:AE239" si="190">X236+X237</f>
        <v>1755323.4635135138</v>
      </c>
      <c r="Y239" s="2198">
        <f t="shared" si="190"/>
        <v>1616986.6640118067</v>
      </c>
      <c r="Z239" s="2199">
        <f t="shared" si="190"/>
        <v>0</v>
      </c>
      <c r="AA239" s="2193">
        <f>AA236+AA237</f>
        <v>0</v>
      </c>
      <c r="AB239" s="2193">
        <f t="shared" si="190"/>
        <v>0</v>
      </c>
      <c r="AC239" s="2193">
        <f t="shared" si="190"/>
        <v>0</v>
      </c>
      <c r="AD239" s="2193">
        <f t="shared" si="190"/>
        <v>5233687.51</v>
      </c>
      <c r="AE239" s="2193">
        <f t="shared" si="190"/>
        <v>4624624.5025271717</v>
      </c>
    </row>
    <row r="240" spans="1:31" ht="16.5" thickTop="1" x14ac:dyDescent="0.25">
      <c r="A240" s="7"/>
      <c r="B240" s="5"/>
      <c r="C240" s="5"/>
      <c r="D240" s="5"/>
      <c r="E240" s="5"/>
      <c r="F240" s="5"/>
      <c r="G240" s="5"/>
      <c r="H240" s="5"/>
      <c r="I240" s="5"/>
      <c r="J240" s="5"/>
      <c r="K240" s="5"/>
      <c r="L240" s="5"/>
      <c r="M240" s="5"/>
      <c r="N240" s="5"/>
      <c r="O240" s="5"/>
      <c r="P240" s="5"/>
      <c r="Q240" s="5"/>
      <c r="R240" s="5"/>
      <c r="S240" s="5"/>
      <c r="T240" s="5"/>
      <c r="U240" s="5"/>
      <c r="V240" s="5"/>
      <c r="W240" s="174"/>
      <c r="X240" s="174"/>
      <c r="Y240" s="5"/>
      <c r="Z240" s="5"/>
      <c r="AA240" s="5"/>
      <c r="AB240" s="5"/>
      <c r="AC240" s="222"/>
      <c r="AD240" s="223"/>
      <c r="AE240" s="389"/>
    </row>
    <row r="241" spans="1:31" ht="27.75" customHeight="1" x14ac:dyDescent="0.35">
      <c r="A241" s="7"/>
      <c r="B241" s="5"/>
      <c r="C241" s="5"/>
      <c r="D241" s="82"/>
      <c r="E241" s="82"/>
      <c r="F241" s="82"/>
      <c r="G241" s="82"/>
      <c r="H241" s="82"/>
      <c r="I241" s="82"/>
      <c r="J241" s="82"/>
      <c r="K241" s="82"/>
      <c r="L241" s="82"/>
      <c r="M241" s="82"/>
      <c r="N241" s="82"/>
      <c r="O241" s="82"/>
      <c r="P241" s="199"/>
      <c r="Q241" s="199"/>
      <c r="R241" s="199"/>
      <c r="S241" s="199"/>
      <c r="T241" s="199"/>
      <c r="U241" s="5"/>
      <c r="V241" s="82"/>
      <c r="W241" s="82"/>
      <c r="X241" s="82"/>
      <c r="Y241" s="82"/>
      <c r="Z241" s="5"/>
      <c r="AA241" s="5"/>
      <c r="AB241" s="5"/>
      <c r="AC241" s="5"/>
      <c r="AD241" s="82"/>
      <c r="AE241" s="389"/>
    </row>
    <row r="242" spans="1:31" ht="27" customHeight="1" x14ac:dyDescent="0.3">
      <c r="A242" s="7"/>
      <c r="B242" s="5"/>
      <c r="C242" s="5"/>
      <c r="D242" s="2701" t="s">
        <v>1137</v>
      </c>
      <c r="E242" s="2633"/>
      <c r="F242" s="177"/>
      <c r="G242" s="177"/>
      <c r="H242" s="177"/>
      <c r="I242" s="2701"/>
      <c r="J242" s="2633"/>
      <c r="K242" s="177"/>
      <c r="L242" s="177"/>
      <c r="M242" s="177"/>
      <c r="N242" s="177"/>
      <c r="O242" s="177"/>
      <c r="P242" s="400"/>
      <c r="Q242" s="178"/>
      <c r="R242" s="5"/>
      <c r="S242" s="5"/>
      <c r="T242" s="5"/>
      <c r="U242" s="2200"/>
      <c r="V242" s="2201"/>
      <c r="W242" s="178"/>
      <c r="X242" s="5"/>
      <c r="Y242" s="5"/>
      <c r="Z242" s="5"/>
      <c r="AA242" s="5"/>
      <c r="AB242" s="5"/>
      <c r="AC242" s="5"/>
      <c r="AD242" s="82"/>
      <c r="AE242" s="389"/>
    </row>
    <row r="243" spans="1:31" ht="30" customHeight="1" x14ac:dyDescent="0.3">
      <c r="A243" s="1100"/>
      <c r="B243" s="5"/>
      <c r="C243" s="5"/>
      <c r="D243" s="2701" t="s">
        <v>1138</v>
      </c>
      <c r="E243" s="2633"/>
      <c r="F243" s="2532"/>
      <c r="G243" s="2532"/>
      <c r="H243" s="2532"/>
      <c r="I243" s="2701"/>
      <c r="J243" s="2633"/>
      <c r="K243" s="2532"/>
      <c r="L243" s="2532"/>
      <c r="M243" s="2532"/>
      <c r="N243" s="2532"/>
      <c r="O243" s="2532"/>
      <c r="P243" s="400"/>
      <c r="Q243" s="178"/>
      <c r="R243" s="5"/>
      <c r="S243" s="5"/>
      <c r="T243" s="5"/>
      <c r="U243" s="2200"/>
      <c r="V243" s="2201"/>
      <c r="W243" s="178"/>
      <c r="X243" s="5"/>
      <c r="Y243" s="5"/>
      <c r="Z243" s="5"/>
      <c r="AA243" s="5"/>
      <c r="AB243" s="5"/>
      <c r="AC243" s="5"/>
      <c r="AD243" s="82"/>
      <c r="AE243" s="389"/>
    </row>
    <row r="244" spans="1:31" ht="18.75" x14ac:dyDescent="0.3">
      <c r="A244" s="1100"/>
      <c r="B244" s="5"/>
      <c r="C244" s="5"/>
      <c r="D244" s="2536" t="s">
        <v>46</v>
      </c>
      <c r="E244" s="2537" t="s">
        <v>1139</v>
      </c>
      <c r="F244" s="2532"/>
      <c r="G244" s="2532"/>
      <c r="H244" s="2532"/>
      <c r="I244" s="2535" t="s">
        <v>1139</v>
      </c>
      <c r="J244" s="2537"/>
      <c r="K244" s="2532"/>
      <c r="L244" s="2532"/>
      <c r="M244" s="2532"/>
      <c r="N244" s="2532"/>
      <c r="O244" s="2532"/>
      <c r="P244" s="400"/>
      <c r="Q244" s="178"/>
      <c r="R244" s="5"/>
      <c r="S244" s="5"/>
      <c r="T244" s="5"/>
      <c r="U244" s="2200"/>
      <c r="V244" s="2201"/>
      <c r="W244" s="178"/>
      <c r="X244" s="5"/>
      <c r="Y244" s="5"/>
      <c r="Z244" s="5"/>
      <c r="AA244" s="5"/>
      <c r="AB244" s="5"/>
      <c r="AC244" s="5"/>
      <c r="AD244" s="82"/>
      <c r="AE244" s="389"/>
    </row>
    <row r="245" spans="1:31" ht="18.75" x14ac:dyDescent="0.3">
      <c r="A245" s="1100"/>
      <c r="B245" s="5"/>
      <c r="C245" s="5"/>
      <c r="D245" s="2536" t="s">
        <v>47</v>
      </c>
      <c r="E245" s="2537" t="s">
        <v>1140</v>
      </c>
      <c r="F245" s="2532"/>
      <c r="G245" s="2532"/>
      <c r="H245" s="2532"/>
      <c r="I245" s="2535" t="s">
        <v>1140</v>
      </c>
      <c r="J245" s="2537"/>
      <c r="K245" s="2532"/>
      <c r="L245" s="2532"/>
      <c r="M245" s="2532"/>
      <c r="N245" s="2532"/>
      <c r="O245" s="2532"/>
      <c r="P245" s="400"/>
      <c r="Q245" s="178"/>
      <c r="R245" s="5"/>
      <c r="S245" s="5"/>
      <c r="T245" s="5"/>
      <c r="U245" s="2200"/>
      <c r="V245" s="2201"/>
      <c r="W245" s="178"/>
      <c r="X245" s="5"/>
      <c r="Y245" s="5"/>
      <c r="Z245" s="5"/>
      <c r="AA245" s="5"/>
      <c r="AB245" s="5"/>
      <c r="AC245" s="5"/>
      <c r="AD245" s="82"/>
      <c r="AE245" s="389"/>
    </row>
    <row r="246" spans="1:31" ht="18.75" x14ac:dyDescent="0.3">
      <c r="A246" s="1100"/>
      <c r="B246" s="5"/>
      <c r="C246" s="5"/>
      <c r="D246" s="2536" t="s">
        <v>49</v>
      </c>
      <c r="E246" s="2537" t="s">
        <v>1141</v>
      </c>
      <c r="F246" s="2532"/>
      <c r="G246" s="2532"/>
      <c r="H246" s="2532"/>
      <c r="I246" s="2535" t="s">
        <v>1141</v>
      </c>
      <c r="J246" s="2537"/>
      <c r="K246" s="2532"/>
      <c r="L246" s="2532"/>
      <c r="M246" s="2532"/>
      <c r="N246" s="2532"/>
      <c r="O246" s="2532"/>
      <c r="P246" s="400"/>
      <c r="Q246" s="178"/>
      <c r="R246" s="5"/>
      <c r="S246" s="5"/>
      <c r="T246" s="5"/>
      <c r="U246" s="2200"/>
      <c r="V246" s="2201"/>
      <c r="W246" s="178"/>
      <c r="X246" s="5"/>
      <c r="Y246" s="5"/>
      <c r="Z246" s="5"/>
      <c r="AA246" s="5"/>
      <c r="AB246" s="5"/>
      <c r="AC246" s="5"/>
      <c r="AD246" s="82"/>
      <c r="AE246" s="389"/>
    </row>
    <row r="247" spans="1:31" ht="19.5" thickBot="1" x14ac:dyDescent="0.35">
      <c r="A247" s="1100"/>
      <c r="B247" s="5"/>
      <c r="C247" s="5"/>
      <c r="D247" s="2532"/>
      <c r="E247" s="2532"/>
      <c r="F247" s="2532"/>
      <c r="G247" s="2532"/>
      <c r="H247" s="2532"/>
      <c r="I247" s="2532"/>
      <c r="J247" s="2532"/>
      <c r="K247" s="2532"/>
      <c r="L247" s="2532"/>
      <c r="M247" s="2532"/>
      <c r="N247" s="2532"/>
      <c r="O247" s="2532"/>
      <c r="P247" s="400"/>
      <c r="Q247" s="178"/>
      <c r="R247" s="5"/>
      <c r="S247" s="5"/>
      <c r="T247" s="5"/>
      <c r="U247" s="2200"/>
      <c r="V247" s="2201"/>
      <c r="W247" s="178"/>
      <c r="X247" s="5"/>
      <c r="Y247" s="5"/>
      <c r="Z247" s="5"/>
      <c r="AA247" s="5"/>
      <c r="AB247" s="5"/>
      <c r="AC247" s="5"/>
      <c r="AD247" s="82"/>
      <c r="AE247" s="389"/>
    </row>
    <row r="248" spans="1:31" ht="18" x14ac:dyDescent="0.25">
      <c r="A248" s="7"/>
      <c r="B248" s="5"/>
      <c r="C248" s="5"/>
      <c r="D248" s="84"/>
      <c r="E248" s="84"/>
      <c r="F248" s="84"/>
      <c r="G248" s="84"/>
      <c r="H248" s="1563"/>
      <c r="I248" s="2202" t="s">
        <v>857</v>
      </c>
      <c r="J248" s="2203" t="s">
        <v>30</v>
      </c>
      <c r="K248" s="2203" t="s">
        <v>28</v>
      </c>
      <c r="L248" s="2203" t="s">
        <v>296</v>
      </c>
      <c r="M248" s="2204" t="s">
        <v>45</v>
      </c>
      <c r="N248" s="1561" t="s">
        <v>854</v>
      </c>
      <c r="O248" s="2205"/>
      <c r="P248" s="1064"/>
      <c r="Q248" s="1064"/>
      <c r="R248" s="1064"/>
      <c r="S248" s="1064"/>
      <c r="T248" s="1064"/>
      <c r="U248" s="177"/>
      <c r="V248" s="400"/>
      <c r="W248" s="82"/>
      <c r="X248" s="5"/>
      <c r="Y248" s="5"/>
      <c r="Z248" s="5"/>
      <c r="AA248" s="5"/>
      <c r="AB248" s="5"/>
      <c r="AC248" s="5"/>
      <c r="AD248" s="5"/>
      <c r="AE248" s="389"/>
    </row>
    <row r="249" spans="1:31" ht="16.5" thickBot="1" x14ac:dyDescent="0.3">
      <c r="A249" s="7"/>
      <c r="B249" s="5"/>
      <c r="C249" s="5"/>
      <c r="D249" s="84"/>
      <c r="E249" s="84"/>
      <c r="F249" s="84"/>
      <c r="G249" s="84"/>
      <c r="H249" s="1563"/>
      <c r="I249" s="2206"/>
      <c r="J249" s="406" t="s">
        <v>295</v>
      </c>
      <c r="K249" s="406" t="s">
        <v>295</v>
      </c>
      <c r="L249" s="406" t="s">
        <v>295</v>
      </c>
      <c r="M249" s="2207" t="s">
        <v>295</v>
      </c>
      <c r="N249" s="2208" t="s">
        <v>295</v>
      </c>
      <c r="O249" s="2205"/>
      <c r="P249" s="1064"/>
      <c r="Q249" s="1064"/>
      <c r="R249" s="1064"/>
      <c r="S249" s="1064"/>
      <c r="T249" s="1064"/>
      <c r="U249" s="84"/>
      <c r="V249" s="1064"/>
      <c r="W249" s="1064"/>
      <c r="X249" s="1064"/>
      <c r="Y249" s="1064"/>
      <c r="Z249" s="1064"/>
      <c r="AA249" s="1064"/>
      <c r="AB249" s="1064"/>
      <c r="AC249" s="5"/>
      <c r="AD249" s="5"/>
      <c r="AE249" s="389"/>
    </row>
    <row r="250" spans="1:31" ht="15.75" x14ac:dyDescent="0.25">
      <c r="A250" s="7"/>
      <c r="B250" s="5"/>
      <c r="C250" s="5"/>
      <c r="D250" s="989"/>
      <c r="E250" s="989"/>
      <c r="F250" s="989"/>
      <c r="G250" s="989"/>
      <c r="H250" s="1564"/>
      <c r="I250" s="2209" t="s">
        <v>46</v>
      </c>
      <c r="J250" s="2210">
        <f>602482.23</f>
        <v>602482.23</v>
      </c>
      <c r="K250" s="2211">
        <v>1144751.3799999999</v>
      </c>
      <c r="L250" s="2211">
        <v>474592</v>
      </c>
      <c r="M250" s="2212">
        <f>SUM(J250:L250)</f>
        <v>2221825.61</v>
      </c>
      <c r="N250" s="2213">
        <f>M250*0.2</f>
        <v>444365.12199999997</v>
      </c>
      <c r="O250" s="2214"/>
      <c r="P250" s="82"/>
      <c r="Q250" s="82"/>
      <c r="R250" s="82"/>
      <c r="S250" s="82"/>
      <c r="T250" s="82"/>
      <c r="U250" s="84"/>
      <c r="V250" s="1064"/>
      <c r="W250" s="1064"/>
      <c r="X250" s="1064"/>
      <c r="Y250" s="1064"/>
      <c r="Z250" s="1064"/>
      <c r="AA250" s="1064"/>
      <c r="AB250" s="1064"/>
      <c r="AC250" s="5"/>
      <c r="AD250" s="5"/>
      <c r="AE250" s="389"/>
    </row>
    <row r="251" spans="1:31" ht="15.75" x14ac:dyDescent="0.25">
      <c r="A251" s="7"/>
      <c r="B251" s="5"/>
      <c r="C251" s="5"/>
      <c r="D251" s="989"/>
      <c r="E251" s="989"/>
      <c r="F251" s="989"/>
      <c r="G251" s="989"/>
      <c r="H251" s="1564"/>
      <c r="I251" s="2215" t="s">
        <v>47</v>
      </c>
      <c r="J251" s="2210">
        <v>582479.03</v>
      </c>
      <c r="K251" s="2210">
        <v>697881.83</v>
      </c>
      <c r="L251" s="2210">
        <v>416200</v>
      </c>
      <c r="M251" s="2212">
        <f t="shared" ref="M251:M252" si="191">SUM(J251:L251)</f>
        <v>1696560.8599999999</v>
      </c>
      <c r="N251" s="2213">
        <f t="shared" ref="N251:N253" si="192">M251*0.2</f>
        <v>339312.17200000002</v>
      </c>
      <c r="O251" s="2214"/>
      <c r="P251" s="82"/>
      <c r="Q251" s="82"/>
      <c r="R251" s="82"/>
      <c r="S251" s="82"/>
      <c r="T251" s="82"/>
      <c r="U251" s="989"/>
      <c r="V251" s="82"/>
      <c r="W251" s="82"/>
      <c r="X251" s="82"/>
      <c r="Y251" s="82"/>
      <c r="Z251" s="82"/>
      <c r="AA251" s="82"/>
      <c r="AB251" s="82"/>
      <c r="AC251" s="5"/>
      <c r="AD251" s="5"/>
      <c r="AE251" s="389"/>
    </row>
    <row r="252" spans="1:31" ht="18" x14ac:dyDescent="0.25">
      <c r="A252" s="401"/>
      <c r="B252" s="83"/>
      <c r="C252" s="83"/>
      <c r="D252" s="989"/>
      <c r="E252" s="989"/>
      <c r="F252" s="989"/>
      <c r="G252" s="989"/>
      <c r="H252" s="1564"/>
      <c r="I252" s="701" t="s">
        <v>644</v>
      </c>
      <c r="J252" s="1062">
        <v>558846.54</v>
      </c>
      <c r="K252" s="1062">
        <v>0</v>
      </c>
      <c r="L252" s="1062">
        <f>150000-40792</f>
        <v>109208</v>
      </c>
      <c r="M252" s="2212">
        <f t="shared" si="191"/>
        <v>668054.54</v>
      </c>
      <c r="N252" s="2213">
        <f t="shared" si="192"/>
        <v>133610.90800000002</v>
      </c>
      <c r="O252" s="2214"/>
      <c r="P252" s="82"/>
      <c r="Q252" s="82"/>
      <c r="R252" s="82"/>
      <c r="S252" s="82"/>
      <c r="T252" s="82"/>
      <c r="U252" s="989"/>
      <c r="V252" s="82"/>
      <c r="W252" s="82"/>
      <c r="X252" s="82"/>
      <c r="Y252" s="82"/>
      <c r="Z252" s="82"/>
      <c r="AA252" s="82"/>
      <c r="AB252" s="82"/>
      <c r="AC252" s="5"/>
      <c r="AD252" s="5"/>
      <c r="AE252" s="389"/>
    </row>
    <row r="253" spans="1:31" ht="18.75" thickBot="1" x14ac:dyDescent="0.3">
      <c r="A253" s="408"/>
      <c r="B253" s="83"/>
      <c r="C253" s="83"/>
      <c r="D253" s="989"/>
      <c r="E253" s="989"/>
      <c r="F253" s="989"/>
      <c r="G253" s="989"/>
      <c r="H253" s="1564"/>
      <c r="I253" s="701" t="s">
        <v>49</v>
      </c>
      <c r="J253" s="1062"/>
      <c r="K253" s="1062">
        <v>160080</v>
      </c>
      <c r="L253" s="1062">
        <v>500000</v>
      </c>
      <c r="M253" s="2212">
        <f>SUM(J253:L253)</f>
        <v>660080</v>
      </c>
      <c r="N253" s="2213">
        <f t="shared" si="192"/>
        <v>132016</v>
      </c>
      <c r="O253" s="2214"/>
      <c r="P253" s="82"/>
      <c r="Q253" s="82"/>
      <c r="R253" s="82"/>
      <c r="S253" s="82"/>
      <c r="T253" s="82"/>
      <c r="U253" s="989"/>
      <c r="V253" s="82">
        <f>+K253/132000</f>
        <v>1.2127272727272727</v>
      </c>
      <c r="W253" s="82"/>
      <c r="X253" s="82"/>
      <c r="Y253" s="82"/>
      <c r="Z253" s="82"/>
      <c r="AA253" s="82"/>
      <c r="AB253" s="82"/>
      <c r="AC253" s="5"/>
      <c r="AD253" s="5"/>
      <c r="AE253" s="389"/>
    </row>
    <row r="254" spans="1:31" ht="18.75" thickBot="1" x14ac:dyDescent="0.3">
      <c r="A254" s="401"/>
      <c r="B254" s="83"/>
      <c r="C254" s="83"/>
      <c r="D254" s="395"/>
      <c r="E254" s="395"/>
      <c r="F254" s="395"/>
      <c r="G254" s="395"/>
      <c r="H254" s="1565"/>
      <c r="I254" s="2216" t="s">
        <v>297</v>
      </c>
      <c r="J254" s="2217">
        <f>SUM(J250:J253)</f>
        <v>1743807.8</v>
      </c>
      <c r="K254" s="2217">
        <f>SUM(K250:K253)</f>
        <v>2002713.21</v>
      </c>
      <c r="L254" s="2217">
        <f t="shared" ref="L254:N254" si="193">SUM(L250:L253)</f>
        <v>1500000</v>
      </c>
      <c r="M254" s="2217">
        <f t="shared" si="193"/>
        <v>5246521.01</v>
      </c>
      <c r="N254" s="2218">
        <f t="shared" si="193"/>
        <v>1049304.202</v>
      </c>
      <c r="O254" s="2219"/>
      <c r="P254" s="395"/>
      <c r="Q254" s="395"/>
      <c r="R254" s="395"/>
      <c r="S254" s="395"/>
      <c r="T254" s="395"/>
      <c r="U254" s="989"/>
      <c r="V254" s="82"/>
      <c r="W254" s="82"/>
      <c r="X254" s="82"/>
      <c r="Y254" s="82"/>
      <c r="Z254" s="82"/>
      <c r="AA254" s="82"/>
      <c r="AB254" s="82"/>
      <c r="AC254" s="5"/>
      <c r="AD254" s="5"/>
      <c r="AE254" s="389"/>
    </row>
    <row r="255" spans="1:31" ht="18.75" thickBot="1" x14ac:dyDescent="0.3">
      <c r="A255" s="401"/>
      <c r="B255" s="83"/>
      <c r="C255" s="83"/>
      <c r="D255" s="5"/>
      <c r="E255" s="5"/>
      <c r="F255" s="5"/>
      <c r="G255" s="5"/>
      <c r="H255" s="5"/>
      <c r="I255" s="5"/>
      <c r="J255" s="5"/>
      <c r="K255" s="5"/>
      <c r="L255" s="5"/>
      <c r="M255" s="5"/>
      <c r="N255" s="5"/>
      <c r="O255" s="7"/>
      <c r="P255" s="5"/>
      <c r="Q255" s="5"/>
      <c r="R255" s="5"/>
      <c r="S255" s="5"/>
      <c r="T255" s="5"/>
      <c r="U255" s="395"/>
      <c r="V255" s="395"/>
      <c r="W255" s="395"/>
      <c r="X255" s="395"/>
      <c r="Y255" s="395"/>
      <c r="Z255" s="395"/>
      <c r="AA255" s="395"/>
      <c r="AB255" s="395"/>
      <c r="AC255" s="5"/>
      <c r="AD255" s="5"/>
      <c r="AE255" s="389"/>
    </row>
    <row r="256" spans="1:31" ht="37.5" thickTop="1" thickBot="1" x14ac:dyDescent="0.3">
      <c r="A256" s="401"/>
      <c r="B256" s="83"/>
      <c r="C256" s="83"/>
      <c r="D256" s="905"/>
      <c r="E256" s="905"/>
      <c r="F256" s="905"/>
      <c r="G256" s="905"/>
      <c r="H256" s="1566"/>
      <c r="I256" s="980" t="s">
        <v>856</v>
      </c>
      <c r="J256" s="409" t="s">
        <v>645</v>
      </c>
      <c r="K256" s="409" t="s">
        <v>646</v>
      </c>
      <c r="L256" s="409" t="s">
        <v>721</v>
      </c>
      <c r="M256" s="436"/>
      <c r="N256" s="436"/>
      <c r="O256" s="2220"/>
      <c r="P256" s="1065"/>
      <c r="Q256" s="1065"/>
      <c r="R256" s="1065"/>
      <c r="S256" s="1065"/>
      <c r="T256" s="1065"/>
      <c r="U256" s="5"/>
      <c r="V256" s="5"/>
      <c r="W256" s="5"/>
      <c r="X256" s="5"/>
      <c r="Y256" s="5"/>
      <c r="Z256" s="5"/>
      <c r="AA256" s="5"/>
      <c r="AB256" s="5"/>
      <c r="AC256" s="5"/>
      <c r="AD256" s="5"/>
      <c r="AE256" s="389"/>
    </row>
    <row r="257" spans="1:31" ht="19.5" thickTop="1" thickBot="1" x14ac:dyDescent="0.3">
      <c r="A257" s="401"/>
      <c r="B257" s="83"/>
      <c r="C257" s="83"/>
      <c r="D257" s="5"/>
      <c r="E257" s="5"/>
      <c r="F257" s="5"/>
      <c r="G257" s="5"/>
      <c r="H257" s="5"/>
      <c r="I257" s="5"/>
      <c r="J257" s="5"/>
      <c r="K257" s="5"/>
      <c r="L257" s="5"/>
      <c r="M257" s="5"/>
      <c r="N257" s="5"/>
      <c r="O257" s="7"/>
      <c r="P257" s="5"/>
      <c r="Q257" s="5"/>
      <c r="R257" s="5"/>
      <c r="S257" s="5"/>
      <c r="T257" s="5"/>
      <c r="U257" s="905"/>
      <c r="V257" s="1065"/>
      <c r="W257" s="1065"/>
      <c r="X257" s="1065"/>
      <c r="Y257" s="1065"/>
      <c r="Z257" s="1065"/>
      <c r="AA257" s="1065"/>
      <c r="AB257" s="5"/>
      <c r="AC257" s="5"/>
      <c r="AD257" s="5"/>
      <c r="AE257" s="389"/>
    </row>
    <row r="258" spans="1:31" ht="37.5" thickTop="1" thickBot="1" x14ac:dyDescent="0.3">
      <c r="A258" s="401"/>
      <c r="B258" s="83"/>
      <c r="C258" s="83"/>
      <c r="D258" s="905"/>
      <c r="E258" s="905"/>
      <c r="F258" s="905"/>
      <c r="G258" s="905"/>
      <c r="H258" s="1566"/>
      <c r="I258" s="980" t="s">
        <v>855</v>
      </c>
      <c r="J258" s="409">
        <f>J254/M254</f>
        <v>0.33237411928328486</v>
      </c>
      <c r="K258" s="409">
        <f>K254/M254</f>
        <v>0.3817221366659504</v>
      </c>
      <c r="L258" s="409">
        <f>L254/M254</f>
        <v>0.2859037440507648</v>
      </c>
      <c r="M258" s="436"/>
      <c r="N258" s="436">
        <v>0.2</v>
      </c>
      <c r="O258" s="2220"/>
      <c r="P258" s="1065"/>
      <c r="Q258" s="1065"/>
      <c r="R258" s="1065"/>
      <c r="S258" s="1065"/>
      <c r="T258" s="1065"/>
      <c r="U258" s="5"/>
      <c r="V258" s="5"/>
      <c r="W258" s="5"/>
      <c r="X258" s="5"/>
      <c r="Y258" s="5"/>
      <c r="Z258" s="5"/>
      <c r="AA258" s="5"/>
      <c r="AB258" s="5"/>
      <c r="AC258" s="5"/>
      <c r="AD258" s="5"/>
      <c r="AE258" s="389"/>
    </row>
    <row r="259" spans="1:31" ht="19.5" thickTop="1" thickBot="1" x14ac:dyDescent="0.3">
      <c r="A259" s="401"/>
      <c r="B259" s="83"/>
      <c r="C259" s="83"/>
      <c r="D259" s="5"/>
      <c r="E259" s="5"/>
      <c r="F259" s="5"/>
      <c r="G259" s="5"/>
      <c r="H259" s="5"/>
      <c r="I259" s="413"/>
      <c r="J259" s="413"/>
      <c r="K259" s="413"/>
      <c r="L259" s="413"/>
      <c r="M259" s="413"/>
      <c r="N259" s="413"/>
      <c r="O259" s="7"/>
      <c r="P259" s="5"/>
      <c r="Q259" s="5"/>
      <c r="R259" s="5"/>
      <c r="S259" s="5"/>
      <c r="T259" s="5"/>
      <c r="U259" s="905"/>
      <c r="V259" s="1065"/>
      <c r="W259" s="1065"/>
      <c r="X259" s="1065"/>
      <c r="Y259" s="1065"/>
      <c r="Z259" s="1065"/>
      <c r="AA259" s="1065"/>
      <c r="AB259" s="5"/>
      <c r="AC259" s="5"/>
      <c r="AD259" s="5"/>
      <c r="AE259" s="389"/>
    </row>
    <row r="260" spans="1:31" ht="18.75" thickBot="1" x14ac:dyDescent="0.3">
      <c r="A260" s="2221"/>
      <c r="B260" s="412"/>
      <c r="C260" s="412"/>
      <c r="D260" s="238"/>
      <c r="E260" s="238"/>
      <c r="F260" s="238"/>
      <c r="G260" s="238"/>
      <c r="H260" s="238"/>
      <c r="I260" s="238"/>
      <c r="J260" s="238"/>
      <c r="K260" s="238"/>
      <c r="L260" s="238"/>
      <c r="M260" s="238"/>
      <c r="N260" s="238"/>
      <c r="O260" s="2222"/>
      <c r="P260" s="238"/>
      <c r="Q260" s="413"/>
      <c r="R260" s="413"/>
      <c r="S260" s="413"/>
      <c r="T260" s="413"/>
      <c r="U260" s="413"/>
      <c r="V260" s="413"/>
      <c r="W260" s="413"/>
      <c r="X260" s="413"/>
      <c r="Y260" s="413"/>
      <c r="Z260" s="413"/>
      <c r="AA260" s="413"/>
      <c r="AB260" s="413"/>
      <c r="AC260" s="413"/>
      <c r="AD260" s="413"/>
      <c r="AE260" s="414"/>
    </row>
    <row r="261" spans="1:31" ht="18" x14ac:dyDescent="0.25">
      <c r="A261" s="130"/>
      <c r="B261" s="130"/>
      <c r="C261" s="130"/>
      <c r="D261" s="5"/>
      <c r="E261" s="5"/>
      <c r="F261" s="5"/>
      <c r="G261" s="5"/>
      <c r="H261" s="5"/>
      <c r="I261" s="5"/>
      <c r="J261" s="5"/>
      <c r="K261" s="5"/>
      <c r="L261" s="5"/>
      <c r="M261" s="5"/>
      <c r="N261" s="5"/>
      <c r="O261" s="5"/>
      <c r="P261" s="5"/>
      <c r="Q261" s="5"/>
      <c r="R261" s="5"/>
      <c r="S261" s="5"/>
      <c r="T261" s="5"/>
      <c r="U261" s="5"/>
    </row>
    <row r="262" spans="1:31" ht="18" x14ac:dyDescent="0.25">
      <c r="A262" s="130"/>
      <c r="B262" s="130"/>
      <c r="C262" s="130"/>
      <c r="D262" s="989"/>
      <c r="E262" s="989"/>
      <c r="F262" s="989"/>
      <c r="G262" s="989"/>
      <c r="H262" s="989"/>
      <c r="I262" s="989"/>
      <c r="J262" s="989"/>
      <c r="K262" s="989"/>
      <c r="L262" s="989"/>
      <c r="M262" s="989"/>
      <c r="N262" s="989"/>
      <c r="O262" s="989"/>
      <c r="P262" s="989"/>
      <c r="Q262" s="989"/>
      <c r="R262" s="5"/>
      <c r="S262" s="5"/>
      <c r="T262" s="5"/>
      <c r="U262" s="5"/>
    </row>
    <row r="263" spans="1:31" ht="18" x14ac:dyDescent="0.25">
      <c r="A263" s="130"/>
      <c r="B263" s="130"/>
      <c r="C263" s="130"/>
      <c r="D263" s="989"/>
      <c r="E263" s="989"/>
      <c r="F263" s="989"/>
      <c r="G263" s="989"/>
      <c r="H263" s="989"/>
      <c r="I263" s="989"/>
      <c r="J263" s="989"/>
      <c r="K263" s="989"/>
      <c r="L263" s="989"/>
      <c r="M263" s="989"/>
      <c r="N263" s="989"/>
      <c r="O263" s="989"/>
      <c r="P263" s="989"/>
      <c r="Q263" s="989"/>
      <c r="R263" s="5"/>
      <c r="S263" s="5"/>
      <c r="T263" s="5"/>
      <c r="U263" s="5"/>
    </row>
    <row r="264" spans="1:31" ht="18" x14ac:dyDescent="0.25">
      <c r="A264" s="130"/>
      <c r="B264" s="130"/>
      <c r="C264" s="130"/>
      <c r="D264" s="989"/>
      <c r="E264" s="989"/>
      <c r="F264" s="989"/>
      <c r="G264" s="989"/>
      <c r="H264" s="989"/>
      <c r="I264" s="989"/>
      <c r="J264" s="989"/>
      <c r="K264" s="989"/>
      <c r="L264" s="989"/>
      <c r="M264" s="989"/>
      <c r="N264" s="989"/>
      <c r="O264" s="989"/>
      <c r="P264" s="989"/>
      <c r="Q264" s="989"/>
      <c r="R264" s="5"/>
      <c r="S264" s="5"/>
      <c r="T264" s="5"/>
      <c r="U264" s="5"/>
    </row>
    <row r="265" spans="1:31" ht="18" x14ac:dyDescent="0.25">
      <c r="A265" s="130"/>
      <c r="B265" s="130"/>
      <c r="C265" s="130"/>
      <c r="D265" s="989"/>
      <c r="E265" s="989"/>
      <c r="F265" s="989"/>
      <c r="G265" s="989"/>
      <c r="H265" s="989"/>
      <c r="I265" s="989"/>
      <c r="J265" s="989"/>
      <c r="K265" s="989"/>
      <c r="L265" s="989"/>
      <c r="M265" s="989"/>
      <c r="N265" s="989"/>
      <c r="O265" s="989"/>
      <c r="P265" s="989"/>
      <c r="Q265" s="989"/>
      <c r="R265" s="5"/>
      <c r="S265" s="5"/>
      <c r="T265" s="5"/>
      <c r="U265" s="5"/>
    </row>
    <row r="266" spans="1:31" ht="18" x14ac:dyDescent="0.25">
      <c r="A266" s="130"/>
      <c r="B266" s="130"/>
      <c r="C266" s="130"/>
      <c r="D266" s="989"/>
      <c r="E266" s="989"/>
      <c r="F266" s="989"/>
      <c r="G266" s="989"/>
      <c r="H266" s="989"/>
      <c r="I266" s="989"/>
      <c r="J266" s="989"/>
      <c r="K266" s="989"/>
      <c r="L266" s="989"/>
      <c r="M266" s="989"/>
      <c r="N266" s="989"/>
      <c r="O266" s="989"/>
      <c r="P266" s="989"/>
      <c r="Q266" s="989"/>
      <c r="R266" s="647"/>
      <c r="S266" s="5"/>
      <c r="T266" s="5"/>
      <c r="U266" s="5"/>
    </row>
    <row r="267" spans="1:31" ht="18" x14ac:dyDescent="0.25">
      <c r="A267" s="130"/>
      <c r="B267" s="130"/>
      <c r="C267" s="130"/>
      <c r="D267" s="989"/>
      <c r="E267" s="989"/>
      <c r="F267" s="989"/>
      <c r="G267" s="989"/>
      <c r="H267" s="989"/>
      <c r="I267" s="989"/>
      <c r="J267" s="989"/>
      <c r="K267" s="989"/>
      <c r="L267" s="989"/>
      <c r="M267" s="989"/>
      <c r="N267" s="989"/>
      <c r="O267" s="989"/>
      <c r="P267" s="989"/>
      <c r="Q267" s="989"/>
      <c r="R267" s="415"/>
      <c r="S267" s="415"/>
      <c r="T267" s="5"/>
      <c r="U267" s="5"/>
    </row>
    <row r="268" spans="1:31" ht="15.75" x14ac:dyDescent="0.25">
      <c r="D268" s="989"/>
      <c r="E268" s="989"/>
      <c r="F268" s="989"/>
      <c r="G268" s="989"/>
      <c r="H268" s="989"/>
      <c r="I268" s="989"/>
      <c r="J268" s="989"/>
      <c r="K268" s="989"/>
      <c r="L268" s="989"/>
      <c r="M268" s="989"/>
      <c r="N268" s="989"/>
      <c r="O268" s="989"/>
      <c r="P268" s="989"/>
      <c r="Q268" s="989"/>
      <c r="R268" s="415"/>
      <c r="S268" s="415"/>
      <c r="T268" s="5"/>
      <c r="U268" s="5"/>
    </row>
    <row r="269" spans="1:31" x14ac:dyDescent="0.2">
      <c r="D269" s="5"/>
      <c r="E269" s="5"/>
      <c r="F269" s="5"/>
      <c r="G269" s="5"/>
      <c r="H269" s="5"/>
      <c r="I269" s="5"/>
      <c r="J269" s="5"/>
      <c r="K269" s="5"/>
      <c r="L269" s="5"/>
      <c r="M269" s="5"/>
      <c r="N269" s="5"/>
      <c r="O269" s="5"/>
      <c r="P269" s="5"/>
      <c r="Q269" s="5"/>
      <c r="R269" s="415"/>
      <c r="S269" s="415"/>
      <c r="T269" s="5"/>
      <c r="U269" s="5"/>
    </row>
    <row r="270" spans="1:31" ht="15.75" x14ac:dyDescent="0.25">
      <c r="D270" s="1562"/>
      <c r="E270" s="1562"/>
      <c r="F270" s="1562"/>
      <c r="G270" s="1562"/>
      <c r="H270" s="1562"/>
      <c r="I270" s="1562"/>
      <c r="J270" s="1562"/>
      <c r="K270" s="1562"/>
      <c r="L270" s="1562"/>
      <c r="M270" s="1562"/>
      <c r="N270" s="1562"/>
      <c r="O270" s="1562"/>
      <c r="P270" s="989"/>
      <c r="Q270" s="5"/>
      <c r="R270" s="415"/>
      <c r="S270" s="415"/>
      <c r="T270" s="5"/>
      <c r="U270" s="5"/>
    </row>
    <row r="271" spans="1:31" ht="15.75" x14ac:dyDescent="0.25">
      <c r="D271" s="989"/>
      <c r="E271" s="989"/>
      <c r="F271" s="989"/>
      <c r="G271" s="989"/>
      <c r="H271" s="989"/>
      <c r="I271" s="989"/>
      <c r="J271" s="989"/>
      <c r="K271" s="989"/>
      <c r="L271" s="989"/>
      <c r="M271" s="989"/>
      <c r="N271" s="989"/>
      <c r="O271" s="989"/>
      <c r="P271" s="989"/>
      <c r="Q271" s="5"/>
      <c r="R271" s="5"/>
      <c r="S271" s="5"/>
      <c r="T271" s="5"/>
      <c r="U271" s="5"/>
    </row>
    <row r="272" spans="1:31" ht="15.75" x14ac:dyDescent="0.25">
      <c r="D272" s="989"/>
      <c r="E272" s="989"/>
      <c r="F272" s="989"/>
      <c r="G272" s="989"/>
      <c r="H272" s="989"/>
      <c r="I272" s="989"/>
      <c r="J272" s="989"/>
      <c r="K272" s="989"/>
      <c r="L272" s="989"/>
      <c r="M272" s="989"/>
      <c r="N272" s="989"/>
      <c r="O272" s="989"/>
      <c r="P272" s="989"/>
      <c r="Q272" s="5"/>
      <c r="R272" s="5"/>
      <c r="S272" s="5"/>
      <c r="T272" s="5"/>
      <c r="U272" s="5"/>
    </row>
    <row r="273" spans="4:21" ht="15.75" x14ac:dyDescent="0.25">
      <c r="D273" s="989"/>
      <c r="E273" s="989"/>
      <c r="F273" s="989"/>
      <c r="G273" s="989"/>
      <c r="H273" s="989"/>
      <c r="I273" s="989"/>
      <c r="J273" s="989"/>
      <c r="K273" s="989"/>
      <c r="L273" s="989"/>
      <c r="M273" s="989"/>
      <c r="N273" s="989"/>
      <c r="O273" s="989"/>
      <c r="P273" s="989"/>
      <c r="Q273" s="5"/>
      <c r="R273" s="5"/>
      <c r="S273" s="5"/>
      <c r="T273" s="5"/>
      <c r="U273" s="5"/>
    </row>
    <row r="274" spans="4:21" ht="15.75" x14ac:dyDescent="0.25">
      <c r="D274" s="989"/>
      <c r="E274" s="989"/>
      <c r="F274" s="989"/>
      <c r="G274" s="989"/>
      <c r="H274" s="989"/>
      <c r="I274" s="989"/>
      <c r="J274" s="989"/>
      <c r="K274" s="989"/>
      <c r="L274" s="989"/>
      <c r="M274" s="989"/>
      <c r="N274" s="989"/>
      <c r="O274" s="989"/>
      <c r="P274" s="989"/>
      <c r="Q274" s="5"/>
      <c r="R274" s="5"/>
      <c r="S274" s="5"/>
      <c r="T274" s="5"/>
      <c r="U274" s="5"/>
    </row>
    <row r="275" spans="4:21" x14ac:dyDescent="0.2">
      <c r="P275" s="5"/>
      <c r="Q275" s="5"/>
      <c r="R275" s="5"/>
      <c r="S275" s="5"/>
      <c r="T275" s="5"/>
      <c r="U275" s="5"/>
    </row>
    <row r="276" spans="4:21" x14ac:dyDescent="0.2">
      <c r="P276" s="5"/>
      <c r="Q276" s="5"/>
      <c r="R276" s="5"/>
      <c r="S276" s="5"/>
      <c r="T276" s="5"/>
      <c r="U276" s="5"/>
    </row>
    <row r="277" spans="4:21" x14ac:dyDescent="0.2">
      <c r="P277" s="5"/>
      <c r="Q277" s="5"/>
      <c r="R277" s="5"/>
      <c r="S277" s="5"/>
      <c r="T277" s="5"/>
      <c r="U277" s="5"/>
    </row>
    <row r="278" spans="4:21" x14ac:dyDescent="0.2">
      <c r="P278" s="5"/>
      <c r="Q278" s="5"/>
      <c r="R278" s="5"/>
      <c r="S278" s="5"/>
      <c r="T278" s="5"/>
      <c r="U278" s="5"/>
    </row>
    <row r="279" spans="4:21" x14ac:dyDescent="0.2">
      <c r="P279" s="5"/>
      <c r="Q279" s="5"/>
      <c r="R279" s="5"/>
      <c r="S279" s="5"/>
      <c r="T279" s="5"/>
      <c r="U279" s="5"/>
    </row>
    <row r="280" spans="4:21" x14ac:dyDescent="0.2">
      <c r="P280" s="5"/>
      <c r="Q280" s="5"/>
      <c r="R280" s="5"/>
      <c r="S280" s="5"/>
      <c r="T280" s="5"/>
      <c r="U280" s="5"/>
    </row>
    <row r="281" spans="4:21" x14ac:dyDescent="0.2">
      <c r="P281" s="5"/>
      <c r="Q281" s="5"/>
      <c r="R281" s="5"/>
      <c r="S281" s="5"/>
      <c r="T281" s="5"/>
      <c r="U281" s="5"/>
    </row>
    <row r="282" spans="4:21" x14ac:dyDescent="0.2">
      <c r="P282" s="5"/>
      <c r="Q282" s="5"/>
      <c r="R282" s="5"/>
      <c r="S282" s="5"/>
      <c r="T282" s="5"/>
      <c r="U282" s="5"/>
    </row>
    <row r="283" spans="4:21" x14ac:dyDescent="0.2">
      <c r="P283" s="5"/>
      <c r="Q283" s="5"/>
      <c r="R283" s="5"/>
      <c r="S283" s="5"/>
      <c r="T283" s="5"/>
      <c r="U283" s="5"/>
    </row>
    <row r="284" spans="4:21" x14ac:dyDescent="0.2">
      <c r="P284" s="5"/>
      <c r="Q284" s="5"/>
      <c r="R284" s="5"/>
      <c r="S284" s="5"/>
      <c r="T284" s="5"/>
      <c r="U284" s="5"/>
    </row>
    <row r="285" spans="4:21" x14ac:dyDescent="0.2">
      <c r="P285" s="5"/>
      <c r="Q285" s="5"/>
      <c r="R285" s="5"/>
      <c r="S285" s="5"/>
      <c r="T285" s="5"/>
      <c r="U285" s="5"/>
    </row>
    <row r="286" spans="4:21" x14ac:dyDescent="0.2">
      <c r="P286" s="5"/>
      <c r="Q286" s="5"/>
      <c r="R286" s="5"/>
      <c r="S286" s="5"/>
      <c r="T286" s="5"/>
      <c r="U286" s="5"/>
    </row>
    <row r="287" spans="4:21" x14ac:dyDescent="0.2">
      <c r="P287" s="5"/>
      <c r="Q287" s="5"/>
      <c r="R287" s="5"/>
      <c r="S287" s="5"/>
      <c r="T287" s="5"/>
      <c r="U287" s="5"/>
    </row>
    <row r="288" spans="4:21" x14ac:dyDescent="0.2">
      <c r="P288" s="5"/>
      <c r="Q288" s="5"/>
      <c r="R288" s="5"/>
      <c r="S288" s="5"/>
      <c r="T288" s="5"/>
      <c r="U288" s="5"/>
    </row>
    <row r="289" spans="16:21" x14ac:dyDescent="0.2">
      <c r="P289" s="5"/>
      <c r="Q289" s="5"/>
      <c r="R289" s="5"/>
      <c r="S289" s="5"/>
      <c r="T289" s="5"/>
      <c r="U289" s="5"/>
    </row>
    <row r="290" spans="16:21" x14ac:dyDescent="0.2">
      <c r="P290" s="5"/>
      <c r="Q290" s="5"/>
      <c r="R290" s="5"/>
      <c r="S290" s="5"/>
      <c r="T290" s="5"/>
      <c r="U290" s="5"/>
    </row>
    <row r="291" spans="16:21" x14ac:dyDescent="0.2">
      <c r="P291" s="5"/>
      <c r="Q291" s="5"/>
      <c r="R291" s="5"/>
      <c r="S291" s="5"/>
      <c r="T291" s="5"/>
      <c r="U291" s="5"/>
    </row>
    <row r="292" spans="16:21" x14ac:dyDescent="0.2">
      <c r="P292" s="5"/>
      <c r="Q292" s="5"/>
      <c r="R292" s="5"/>
      <c r="S292" s="5"/>
      <c r="T292" s="5"/>
      <c r="U292" s="5"/>
    </row>
    <row r="293" spans="16:21" x14ac:dyDescent="0.2">
      <c r="P293" s="5"/>
      <c r="Q293" s="5"/>
      <c r="R293" s="5"/>
      <c r="S293" s="5"/>
      <c r="T293" s="5"/>
      <c r="U293" s="5"/>
    </row>
    <row r="294" spans="16:21" x14ac:dyDescent="0.2">
      <c r="P294" s="5"/>
      <c r="Q294" s="5"/>
      <c r="R294" s="5"/>
      <c r="S294" s="5"/>
      <c r="T294" s="5"/>
      <c r="U294" s="5"/>
    </row>
    <row r="295" spans="16:21" x14ac:dyDescent="0.2">
      <c r="P295" s="5"/>
      <c r="Q295" s="5"/>
      <c r="R295" s="5"/>
      <c r="S295" s="5"/>
      <c r="T295" s="5"/>
      <c r="U295" s="5"/>
    </row>
    <row r="296" spans="16:21" x14ac:dyDescent="0.2">
      <c r="P296" s="5"/>
      <c r="Q296" s="5"/>
      <c r="R296" s="5"/>
      <c r="S296" s="5"/>
      <c r="T296" s="5"/>
      <c r="U296" s="5"/>
    </row>
    <row r="297" spans="16:21" x14ac:dyDescent="0.2">
      <c r="P297" s="5"/>
      <c r="Q297" s="5"/>
      <c r="R297" s="5"/>
      <c r="S297" s="5"/>
      <c r="T297" s="5"/>
      <c r="U297" s="5"/>
    </row>
    <row r="298" spans="16:21" x14ac:dyDescent="0.2">
      <c r="P298" s="5"/>
      <c r="Q298" s="5"/>
      <c r="R298" s="5"/>
      <c r="S298" s="5"/>
      <c r="T298" s="5"/>
      <c r="U298" s="5"/>
    </row>
    <row r="299" spans="16:21" x14ac:dyDescent="0.2">
      <c r="P299" s="5"/>
      <c r="Q299" s="5"/>
      <c r="R299" s="5"/>
      <c r="S299" s="5"/>
      <c r="T299" s="5"/>
      <c r="U299" s="5"/>
    </row>
    <row r="300" spans="16:21" x14ac:dyDescent="0.2">
      <c r="P300" s="5"/>
      <c r="Q300" s="5"/>
      <c r="R300" s="5"/>
      <c r="S300" s="5"/>
      <c r="T300" s="5"/>
      <c r="U300" s="5"/>
    </row>
    <row r="301" spans="16:21" x14ac:dyDescent="0.2">
      <c r="P301" s="5"/>
      <c r="Q301" s="5"/>
      <c r="R301" s="5"/>
      <c r="S301" s="5"/>
      <c r="T301" s="5"/>
      <c r="U301" s="5"/>
    </row>
    <row r="302" spans="16:21" x14ac:dyDescent="0.2">
      <c r="P302" s="5"/>
      <c r="Q302" s="5"/>
      <c r="R302" s="5"/>
      <c r="S302" s="5"/>
      <c r="T302" s="5"/>
      <c r="U302" s="5"/>
    </row>
    <row r="303" spans="16:21" x14ac:dyDescent="0.2">
      <c r="P303" s="5"/>
      <c r="Q303" s="5"/>
      <c r="R303" s="5"/>
      <c r="S303" s="5"/>
      <c r="T303" s="5"/>
      <c r="U303" s="5"/>
    </row>
    <row r="304" spans="16:21" x14ac:dyDescent="0.2">
      <c r="P304" s="5"/>
      <c r="Q304" s="5"/>
      <c r="R304" s="5"/>
      <c r="S304" s="5"/>
      <c r="T304" s="5"/>
      <c r="U304" s="5"/>
    </row>
    <row r="305" spans="16:21" x14ac:dyDescent="0.2">
      <c r="P305" s="5"/>
      <c r="Q305" s="5"/>
      <c r="R305" s="5"/>
      <c r="S305" s="5"/>
      <c r="T305" s="5"/>
      <c r="U305" s="5"/>
    </row>
    <row r="306" spans="16:21" x14ac:dyDescent="0.2">
      <c r="P306" s="5"/>
      <c r="Q306" s="5"/>
      <c r="R306" s="5"/>
      <c r="S306" s="5"/>
      <c r="T306" s="5"/>
      <c r="U306" s="5"/>
    </row>
    <row r="307" spans="16:21" x14ac:dyDescent="0.2">
      <c r="P307" s="5"/>
      <c r="Q307" s="5"/>
      <c r="R307" s="5"/>
      <c r="S307" s="5"/>
      <c r="T307" s="5"/>
      <c r="U307" s="5"/>
    </row>
    <row r="308" spans="16:21" x14ac:dyDescent="0.2">
      <c r="P308" s="5"/>
      <c r="Q308" s="5"/>
      <c r="R308" s="5"/>
      <c r="S308" s="5"/>
      <c r="T308" s="5"/>
      <c r="U308" s="5"/>
    </row>
    <row r="309" spans="16:21" x14ac:dyDescent="0.2">
      <c r="P309" s="5"/>
      <c r="Q309" s="5"/>
      <c r="R309" s="5"/>
      <c r="S309" s="5"/>
      <c r="T309" s="5"/>
      <c r="U309" s="5"/>
    </row>
    <row r="310" spans="16:21" x14ac:dyDescent="0.2">
      <c r="P310" s="5"/>
      <c r="Q310" s="5"/>
      <c r="R310" s="5"/>
      <c r="S310" s="5"/>
      <c r="T310" s="5"/>
      <c r="U310" s="5"/>
    </row>
    <row r="311" spans="16:21" x14ac:dyDescent="0.2">
      <c r="P311" s="5"/>
      <c r="Q311" s="5"/>
      <c r="R311" s="5"/>
      <c r="S311" s="5"/>
      <c r="T311" s="5"/>
      <c r="U311" s="5"/>
    </row>
    <row r="312" spans="16:21" x14ac:dyDescent="0.2">
      <c r="P312" s="5"/>
      <c r="Q312" s="5"/>
      <c r="R312" s="5"/>
      <c r="S312" s="5"/>
      <c r="T312" s="5"/>
      <c r="U312" s="5"/>
    </row>
    <row r="313" spans="16:21" x14ac:dyDescent="0.2">
      <c r="P313" s="5"/>
      <c r="Q313" s="5"/>
      <c r="R313" s="5"/>
      <c r="S313" s="5"/>
      <c r="T313" s="5"/>
      <c r="U313" s="5"/>
    </row>
    <row r="314" spans="16:21" x14ac:dyDescent="0.2">
      <c r="P314" s="5"/>
      <c r="Q314" s="5"/>
      <c r="R314" s="5"/>
      <c r="S314" s="5"/>
      <c r="T314" s="5"/>
      <c r="U314" s="5"/>
    </row>
    <row r="315" spans="16:21" x14ac:dyDescent="0.2">
      <c r="P315" s="5"/>
      <c r="Q315" s="5"/>
      <c r="R315" s="5"/>
      <c r="S315" s="5"/>
      <c r="T315" s="5"/>
      <c r="U315" s="5"/>
    </row>
    <row r="316" spans="16:21" x14ac:dyDescent="0.2">
      <c r="P316" s="5"/>
      <c r="Q316" s="5"/>
      <c r="R316" s="5"/>
      <c r="S316" s="5"/>
      <c r="T316" s="5"/>
      <c r="U316" s="5"/>
    </row>
    <row r="317" spans="16:21" x14ac:dyDescent="0.2">
      <c r="P317" s="5"/>
      <c r="Q317" s="5"/>
      <c r="R317" s="5"/>
      <c r="S317" s="5"/>
      <c r="T317" s="5"/>
      <c r="U317" s="5"/>
    </row>
    <row r="318" spans="16:21" x14ac:dyDescent="0.2">
      <c r="P318" s="5"/>
      <c r="Q318" s="5"/>
      <c r="R318" s="5"/>
      <c r="S318" s="5"/>
      <c r="T318" s="5"/>
      <c r="U318" s="5"/>
    </row>
    <row r="319" spans="16:21" x14ac:dyDescent="0.2">
      <c r="P319" s="5"/>
      <c r="Q319" s="5"/>
      <c r="R319" s="5"/>
      <c r="S319" s="5"/>
      <c r="T319" s="5"/>
      <c r="U319" s="5"/>
    </row>
    <row r="320" spans="16:21" x14ac:dyDescent="0.2">
      <c r="P320" s="5"/>
      <c r="Q320" s="5"/>
      <c r="R320" s="5"/>
      <c r="S320" s="5"/>
      <c r="T320" s="5"/>
      <c r="U320" s="5"/>
    </row>
    <row r="321" spans="16:21" x14ac:dyDescent="0.2">
      <c r="P321" s="5"/>
      <c r="Q321" s="5"/>
      <c r="R321" s="5"/>
      <c r="S321" s="5"/>
      <c r="T321" s="5"/>
      <c r="U321" s="5"/>
    </row>
    <row r="322" spans="16:21" x14ac:dyDescent="0.2">
      <c r="P322" s="5"/>
      <c r="Q322" s="5"/>
      <c r="R322" s="5"/>
      <c r="S322" s="5"/>
      <c r="T322" s="5"/>
      <c r="U322" s="5"/>
    </row>
    <row r="323" spans="16:21" x14ac:dyDescent="0.2">
      <c r="P323" s="5"/>
      <c r="Q323" s="5"/>
      <c r="R323" s="5"/>
      <c r="S323" s="5"/>
      <c r="T323" s="5"/>
      <c r="U323" s="5"/>
    </row>
    <row r="324" spans="16:21" x14ac:dyDescent="0.2">
      <c r="P324" s="5"/>
      <c r="Q324" s="5"/>
      <c r="R324" s="5"/>
      <c r="S324" s="5"/>
      <c r="T324" s="5"/>
      <c r="U324" s="5"/>
    </row>
    <row r="325" spans="16:21" x14ac:dyDescent="0.2">
      <c r="P325" s="5"/>
      <c r="Q325" s="5"/>
      <c r="R325" s="5"/>
      <c r="S325" s="5"/>
      <c r="T325" s="5"/>
      <c r="U325" s="5"/>
    </row>
    <row r="326" spans="16:21" x14ac:dyDescent="0.2">
      <c r="P326" s="5"/>
      <c r="Q326" s="5"/>
      <c r="R326" s="5"/>
      <c r="S326" s="5"/>
      <c r="T326" s="5"/>
      <c r="U326" s="5"/>
    </row>
    <row r="327" spans="16:21" x14ac:dyDescent="0.2">
      <c r="P327" s="5"/>
      <c r="Q327" s="5"/>
      <c r="R327" s="5"/>
      <c r="S327" s="5"/>
      <c r="T327" s="5"/>
      <c r="U327" s="5"/>
    </row>
    <row r="328" spans="16:21" x14ac:dyDescent="0.2">
      <c r="P328" s="5"/>
      <c r="Q328" s="5"/>
      <c r="R328" s="5"/>
      <c r="S328" s="5"/>
      <c r="T328" s="5"/>
      <c r="U328" s="5"/>
    </row>
    <row r="329" spans="16:21" x14ac:dyDescent="0.2">
      <c r="P329" s="5"/>
      <c r="Q329" s="5"/>
      <c r="R329" s="5"/>
      <c r="S329" s="5"/>
      <c r="T329" s="5"/>
      <c r="U329" s="5"/>
    </row>
    <row r="330" spans="16:21" x14ac:dyDescent="0.2">
      <c r="P330" s="5"/>
      <c r="Q330" s="5"/>
      <c r="R330" s="5"/>
      <c r="S330" s="5"/>
      <c r="T330" s="5"/>
      <c r="U330" s="5"/>
    </row>
    <row r="331" spans="16:21" x14ac:dyDescent="0.2">
      <c r="P331" s="5"/>
      <c r="Q331" s="5"/>
      <c r="R331" s="5"/>
      <c r="S331" s="5"/>
      <c r="T331" s="5"/>
      <c r="U331" s="5"/>
    </row>
    <row r="332" spans="16:21" x14ac:dyDescent="0.2">
      <c r="P332" s="5"/>
      <c r="Q332" s="5"/>
      <c r="R332" s="5"/>
      <c r="S332" s="5"/>
      <c r="T332" s="5"/>
      <c r="U332" s="5"/>
    </row>
    <row r="333" spans="16:21" x14ac:dyDescent="0.2">
      <c r="P333" s="5"/>
      <c r="Q333" s="5"/>
      <c r="R333" s="5"/>
      <c r="S333" s="5"/>
      <c r="T333" s="5"/>
      <c r="U333" s="5"/>
    </row>
    <row r="334" spans="16:21" x14ac:dyDescent="0.2">
      <c r="P334" s="5"/>
      <c r="Q334" s="5"/>
      <c r="R334" s="5"/>
      <c r="S334" s="5"/>
      <c r="T334" s="5"/>
      <c r="U334" s="5"/>
    </row>
    <row r="335" spans="16:21" x14ac:dyDescent="0.2">
      <c r="P335" s="5"/>
      <c r="Q335" s="5"/>
      <c r="R335" s="5"/>
      <c r="S335" s="5"/>
      <c r="T335" s="5"/>
      <c r="U335" s="5"/>
    </row>
    <row r="336" spans="16:21" x14ac:dyDescent="0.2">
      <c r="P336" s="5"/>
      <c r="Q336" s="5"/>
      <c r="R336" s="5"/>
      <c r="S336" s="5"/>
      <c r="T336" s="5"/>
      <c r="U336" s="5"/>
    </row>
    <row r="337" spans="16:21" x14ac:dyDescent="0.2">
      <c r="P337" s="5"/>
      <c r="Q337" s="5"/>
      <c r="R337" s="5"/>
      <c r="S337" s="5"/>
      <c r="T337" s="5"/>
      <c r="U337" s="5"/>
    </row>
    <row r="338" spans="16:21" x14ac:dyDescent="0.2">
      <c r="P338" s="5"/>
      <c r="Q338" s="5"/>
      <c r="R338" s="5"/>
      <c r="S338" s="5"/>
      <c r="T338" s="5"/>
      <c r="U338" s="5"/>
    </row>
    <row r="339" spans="16:21" x14ac:dyDescent="0.2">
      <c r="P339" s="5"/>
      <c r="Q339" s="5"/>
      <c r="R339" s="5"/>
      <c r="S339" s="5"/>
      <c r="T339" s="5"/>
      <c r="U339" s="5"/>
    </row>
    <row r="340" spans="16:21" x14ac:dyDescent="0.2">
      <c r="P340" s="5"/>
      <c r="Q340" s="5"/>
      <c r="R340" s="5"/>
      <c r="S340" s="5"/>
      <c r="T340" s="5"/>
      <c r="U340" s="5"/>
    </row>
    <row r="341" spans="16:21" x14ac:dyDescent="0.2">
      <c r="P341" s="5"/>
      <c r="Q341" s="5"/>
      <c r="R341" s="5"/>
      <c r="S341" s="5"/>
      <c r="T341" s="5"/>
      <c r="U341" s="5"/>
    </row>
    <row r="342" spans="16:21" x14ac:dyDescent="0.2">
      <c r="P342" s="5"/>
      <c r="Q342" s="5"/>
      <c r="R342" s="5"/>
      <c r="S342" s="5"/>
      <c r="T342" s="5"/>
      <c r="U342" s="5"/>
    </row>
    <row r="343" spans="16:21" x14ac:dyDescent="0.2">
      <c r="P343" s="5"/>
      <c r="Q343" s="5"/>
      <c r="R343" s="5"/>
      <c r="S343" s="5"/>
      <c r="T343" s="5"/>
      <c r="U343" s="5"/>
    </row>
    <row r="344" spans="16:21" x14ac:dyDescent="0.2">
      <c r="P344" s="5"/>
      <c r="Q344" s="5"/>
      <c r="R344" s="5"/>
      <c r="S344" s="5"/>
      <c r="T344" s="5"/>
      <c r="U344" s="5"/>
    </row>
    <row r="345" spans="16:21" x14ac:dyDescent="0.2">
      <c r="P345" s="5"/>
      <c r="Q345" s="5"/>
      <c r="R345" s="5"/>
      <c r="S345" s="5"/>
      <c r="T345" s="5"/>
      <c r="U345" s="5"/>
    </row>
    <row r="346" spans="16:21" x14ac:dyDescent="0.2">
      <c r="P346" s="5"/>
      <c r="Q346" s="5"/>
      <c r="R346" s="5"/>
      <c r="S346" s="5"/>
      <c r="T346" s="5"/>
      <c r="U346" s="5"/>
    </row>
    <row r="347" spans="16:21" x14ac:dyDescent="0.2">
      <c r="P347" s="5"/>
      <c r="Q347" s="5"/>
      <c r="R347" s="5"/>
      <c r="S347" s="5"/>
      <c r="T347" s="5"/>
      <c r="U347" s="5"/>
    </row>
    <row r="348" spans="16:21" x14ac:dyDescent="0.2">
      <c r="P348" s="5"/>
      <c r="Q348" s="5"/>
      <c r="R348" s="5"/>
      <c r="S348" s="5"/>
      <c r="T348" s="5"/>
      <c r="U348" s="5"/>
    </row>
    <row r="349" spans="16:21" x14ac:dyDescent="0.2">
      <c r="P349" s="5"/>
      <c r="Q349" s="5"/>
      <c r="R349" s="5"/>
      <c r="S349" s="5"/>
      <c r="T349" s="5"/>
      <c r="U349" s="5"/>
    </row>
    <row r="350" spans="16:21" x14ac:dyDescent="0.2">
      <c r="P350" s="5"/>
      <c r="Q350" s="5"/>
      <c r="R350" s="5"/>
      <c r="S350" s="5"/>
      <c r="T350" s="5"/>
      <c r="U350" s="5"/>
    </row>
    <row r="351" spans="16:21" x14ac:dyDescent="0.2">
      <c r="P351" s="5"/>
      <c r="Q351" s="5"/>
      <c r="R351" s="5"/>
      <c r="S351" s="5"/>
      <c r="T351" s="5"/>
      <c r="U351" s="5"/>
    </row>
    <row r="352" spans="16:21" x14ac:dyDescent="0.2">
      <c r="P352" s="5"/>
      <c r="Q352" s="5"/>
      <c r="R352" s="5"/>
      <c r="S352" s="5"/>
      <c r="T352" s="5"/>
      <c r="U352" s="5"/>
    </row>
    <row r="353" spans="16:21" x14ac:dyDescent="0.2">
      <c r="P353" s="5"/>
      <c r="Q353" s="5"/>
      <c r="R353" s="5"/>
      <c r="S353" s="5"/>
      <c r="T353" s="5"/>
      <c r="U353" s="5"/>
    </row>
    <row r="354" spans="16:21" x14ac:dyDescent="0.2">
      <c r="P354" s="5"/>
      <c r="Q354" s="5"/>
      <c r="R354" s="5"/>
      <c r="S354" s="5"/>
      <c r="T354" s="5"/>
      <c r="U354" s="5"/>
    </row>
    <row r="355" spans="16:21" x14ac:dyDescent="0.2">
      <c r="P355" s="5"/>
      <c r="Q355" s="5"/>
      <c r="R355" s="5"/>
      <c r="S355" s="5"/>
      <c r="T355" s="5"/>
      <c r="U355" s="5"/>
    </row>
    <row r="356" spans="16:21" x14ac:dyDescent="0.2">
      <c r="P356" s="5"/>
      <c r="Q356" s="5"/>
      <c r="R356" s="5"/>
      <c r="S356" s="5"/>
      <c r="T356" s="5"/>
      <c r="U356" s="5"/>
    </row>
    <row r="357" spans="16:21" x14ac:dyDescent="0.2">
      <c r="P357" s="5"/>
      <c r="Q357" s="5"/>
      <c r="R357" s="5"/>
      <c r="S357" s="5"/>
      <c r="T357" s="5"/>
      <c r="U357" s="5"/>
    </row>
    <row r="358" spans="16:21" x14ac:dyDescent="0.2">
      <c r="P358" s="5"/>
      <c r="Q358" s="5"/>
      <c r="R358" s="5"/>
      <c r="S358" s="5"/>
      <c r="T358" s="5"/>
      <c r="U358" s="5"/>
    </row>
    <row r="359" spans="16:21" x14ac:dyDescent="0.2">
      <c r="P359" s="5"/>
      <c r="Q359" s="5"/>
      <c r="R359" s="5"/>
      <c r="S359" s="5"/>
      <c r="T359" s="5"/>
      <c r="U359" s="5"/>
    </row>
    <row r="360" spans="16:21" x14ac:dyDescent="0.2">
      <c r="P360" s="5"/>
      <c r="Q360" s="5"/>
      <c r="R360" s="5"/>
      <c r="S360" s="5"/>
      <c r="T360" s="5"/>
      <c r="U360" s="5"/>
    </row>
    <row r="361" spans="16:21" x14ac:dyDescent="0.2">
      <c r="P361" s="5"/>
      <c r="Q361" s="5"/>
      <c r="R361" s="5"/>
      <c r="S361" s="5"/>
      <c r="T361" s="5"/>
      <c r="U361" s="5"/>
    </row>
    <row r="362" spans="16:21" x14ac:dyDescent="0.2">
      <c r="P362" s="5"/>
      <c r="Q362" s="5"/>
      <c r="R362" s="5"/>
      <c r="S362" s="5"/>
      <c r="T362" s="5"/>
      <c r="U362" s="5"/>
    </row>
    <row r="363" spans="16:21" x14ac:dyDescent="0.2">
      <c r="P363" s="5"/>
      <c r="Q363" s="5"/>
      <c r="R363" s="5"/>
      <c r="S363" s="5"/>
      <c r="T363" s="5"/>
      <c r="U363" s="5"/>
    </row>
    <row r="364" spans="16:21" x14ac:dyDescent="0.2">
      <c r="P364" s="5"/>
      <c r="Q364" s="5"/>
      <c r="R364" s="5"/>
      <c r="S364" s="5"/>
      <c r="T364" s="5"/>
      <c r="U364" s="5"/>
    </row>
    <row r="365" spans="16:21" x14ac:dyDescent="0.2">
      <c r="P365" s="5"/>
      <c r="Q365" s="5"/>
      <c r="R365" s="5"/>
      <c r="S365" s="5"/>
      <c r="T365" s="5"/>
      <c r="U365" s="5"/>
    </row>
    <row r="366" spans="16:21" x14ac:dyDescent="0.2">
      <c r="P366" s="5"/>
      <c r="Q366" s="5"/>
      <c r="R366" s="5"/>
      <c r="S366" s="5"/>
      <c r="T366" s="5"/>
      <c r="U366" s="5"/>
    </row>
    <row r="367" spans="16:21" x14ac:dyDescent="0.2">
      <c r="P367" s="5"/>
      <c r="Q367" s="5"/>
      <c r="R367" s="5"/>
      <c r="S367" s="5"/>
      <c r="T367" s="5"/>
      <c r="U367" s="5"/>
    </row>
    <row r="368" spans="16:21" x14ac:dyDescent="0.2">
      <c r="P368" s="5"/>
      <c r="Q368" s="5"/>
      <c r="R368" s="5"/>
      <c r="S368" s="5"/>
      <c r="T368" s="5"/>
      <c r="U368" s="5"/>
    </row>
    <row r="369" spans="16:21" x14ac:dyDescent="0.2">
      <c r="P369" s="5"/>
      <c r="Q369" s="5"/>
      <c r="R369" s="5"/>
      <c r="S369" s="5"/>
      <c r="T369" s="5"/>
      <c r="U369" s="5"/>
    </row>
    <row r="370" spans="16:21" x14ac:dyDescent="0.2">
      <c r="P370" s="5"/>
      <c r="Q370" s="5"/>
      <c r="R370" s="5"/>
      <c r="S370" s="5"/>
      <c r="T370" s="5"/>
      <c r="U370" s="5"/>
    </row>
    <row r="371" spans="16:21" x14ac:dyDescent="0.2">
      <c r="P371" s="5"/>
      <c r="Q371" s="5"/>
      <c r="R371" s="5"/>
      <c r="S371" s="5"/>
      <c r="T371" s="5"/>
      <c r="U371" s="5"/>
    </row>
    <row r="372" spans="16:21" x14ac:dyDescent="0.2">
      <c r="P372" s="5"/>
      <c r="Q372" s="5"/>
      <c r="R372" s="5"/>
      <c r="S372" s="5"/>
      <c r="T372" s="5"/>
      <c r="U372" s="5"/>
    </row>
    <row r="373" spans="16:21" x14ac:dyDescent="0.2">
      <c r="P373" s="5"/>
      <c r="Q373" s="5"/>
      <c r="R373" s="5"/>
      <c r="S373" s="5"/>
      <c r="T373" s="5"/>
      <c r="U373" s="5"/>
    </row>
    <row r="374" spans="16:21" x14ac:dyDescent="0.2">
      <c r="P374" s="5"/>
      <c r="Q374" s="5"/>
      <c r="R374" s="5"/>
      <c r="S374" s="5"/>
      <c r="T374" s="5"/>
      <c r="U374" s="5"/>
    </row>
    <row r="375" spans="16:21" x14ac:dyDescent="0.2">
      <c r="P375" s="5"/>
      <c r="Q375" s="5"/>
      <c r="R375" s="5"/>
      <c r="S375" s="5"/>
      <c r="T375" s="5"/>
      <c r="U375" s="5"/>
    </row>
    <row r="376" spans="16:21" x14ac:dyDescent="0.2">
      <c r="P376" s="5"/>
      <c r="Q376" s="5"/>
      <c r="R376" s="5"/>
      <c r="S376" s="5"/>
      <c r="T376" s="5"/>
      <c r="U376" s="5"/>
    </row>
    <row r="377" spans="16:21" x14ac:dyDescent="0.2">
      <c r="P377" s="5"/>
      <c r="Q377" s="5"/>
      <c r="R377" s="5"/>
      <c r="S377" s="5"/>
      <c r="T377" s="5"/>
      <c r="U377" s="5"/>
    </row>
    <row r="378" spans="16:21" x14ac:dyDescent="0.2">
      <c r="P378" s="5"/>
      <c r="Q378" s="5"/>
      <c r="R378" s="5"/>
      <c r="S378" s="5"/>
      <c r="T378" s="5"/>
      <c r="U378" s="5"/>
    </row>
    <row r="379" spans="16:21" x14ac:dyDescent="0.2">
      <c r="P379" s="5"/>
      <c r="Q379" s="5"/>
      <c r="R379" s="5"/>
      <c r="S379" s="5"/>
      <c r="T379" s="5"/>
      <c r="U379" s="5"/>
    </row>
    <row r="380" spans="16:21" x14ac:dyDescent="0.2">
      <c r="P380" s="5"/>
      <c r="Q380" s="5"/>
      <c r="R380" s="5"/>
      <c r="S380" s="5"/>
      <c r="T380" s="5"/>
      <c r="U380" s="5"/>
    </row>
    <row r="381" spans="16:21" x14ac:dyDescent="0.2">
      <c r="P381" s="5"/>
      <c r="Q381" s="5"/>
      <c r="R381" s="5"/>
      <c r="S381" s="5"/>
      <c r="T381" s="5"/>
      <c r="U381" s="5"/>
    </row>
    <row r="382" spans="16:21" x14ac:dyDescent="0.2">
      <c r="P382" s="5"/>
      <c r="Q382" s="5"/>
      <c r="R382" s="5"/>
      <c r="S382" s="5"/>
      <c r="T382" s="5"/>
      <c r="U382" s="5"/>
    </row>
    <row r="383" spans="16:21" x14ac:dyDescent="0.2">
      <c r="P383" s="5"/>
      <c r="Q383" s="5"/>
      <c r="R383" s="5"/>
      <c r="S383" s="5"/>
      <c r="T383" s="5"/>
      <c r="U383" s="5"/>
    </row>
    <row r="384" spans="16:21" x14ac:dyDescent="0.2">
      <c r="P384" s="5"/>
      <c r="Q384" s="5"/>
      <c r="R384" s="5"/>
      <c r="S384" s="5"/>
      <c r="T384" s="5"/>
      <c r="U384" s="5"/>
    </row>
    <row r="385" spans="16:21" x14ac:dyDescent="0.2">
      <c r="P385" s="5"/>
      <c r="Q385" s="5"/>
      <c r="R385" s="5"/>
      <c r="S385" s="5"/>
      <c r="T385" s="5"/>
      <c r="U385" s="5"/>
    </row>
    <row r="386" spans="16:21" x14ac:dyDescent="0.2">
      <c r="P386" s="5"/>
      <c r="Q386" s="5"/>
      <c r="R386" s="5"/>
      <c r="S386" s="5"/>
      <c r="T386" s="5"/>
      <c r="U386" s="5"/>
    </row>
    <row r="387" spans="16:21" x14ac:dyDescent="0.2">
      <c r="P387" s="5"/>
      <c r="Q387" s="5"/>
      <c r="R387" s="5"/>
      <c r="S387" s="5"/>
      <c r="T387" s="5"/>
      <c r="U387" s="5"/>
    </row>
    <row r="388" spans="16:21" x14ac:dyDescent="0.2">
      <c r="P388" s="5"/>
      <c r="Q388" s="5"/>
      <c r="R388" s="5"/>
      <c r="S388" s="5"/>
      <c r="T388" s="5"/>
      <c r="U388" s="5"/>
    </row>
    <row r="389" spans="16:21" x14ac:dyDescent="0.2">
      <c r="P389" s="5"/>
      <c r="Q389" s="5"/>
      <c r="R389" s="5"/>
      <c r="S389" s="5"/>
      <c r="T389" s="5"/>
      <c r="U389" s="5"/>
    </row>
    <row r="390" spans="16:21" x14ac:dyDescent="0.2">
      <c r="P390" s="5"/>
      <c r="Q390" s="5"/>
      <c r="R390" s="5"/>
      <c r="S390" s="5"/>
      <c r="T390" s="5"/>
      <c r="U390" s="5"/>
    </row>
    <row r="391" spans="16:21" x14ac:dyDescent="0.2">
      <c r="P391" s="5"/>
      <c r="Q391" s="5"/>
      <c r="R391" s="5"/>
      <c r="S391" s="5"/>
      <c r="T391" s="5"/>
      <c r="U391" s="5"/>
    </row>
    <row r="392" spans="16:21" x14ac:dyDescent="0.2">
      <c r="P392" s="5"/>
      <c r="Q392" s="5"/>
      <c r="R392" s="5"/>
      <c r="S392" s="5"/>
      <c r="T392" s="5"/>
      <c r="U392" s="5"/>
    </row>
    <row r="393" spans="16:21" x14ac:dyDescent="0.2">
      <c r="P393" s="5"/>
      <c r="Q393" s="5"/>
      <c r="R393" s="5"/>
      <c r="S393" s="5"/>
      <c r="T393" s="5"/>
      <c r="U393" s="5"/>
    </row>
    <row r="394" spans="16:21" x14ac:dyDescent="0.2">
      <c r="P394" s="5"/>
      <c r="Q394" s="5"/>
      <c r="R394" s="5"/>
      <c r="S394" s="5"/>
      <c r="T394" s="5"/>
      <c r="U394" s="5"/>
    </row>
    <row r="395" spans="16:21" x14ac:dyDescent="0.2">
      <c r="P395" s="5"/>
      <c r="Q395" s="5"/>
      <c r="R395" s="5"/>
      <c r="S395" s="5"/>
      <c r="T395" s="5"/>
      <c r="U395" s="5"/>
    </row>
    <row r="396" spans="16:21" x14ac:dyDescent="0.2">
      <c r="P396" s="5"/>
      <c r="Q396" s="5"/>
      <c r="R396" s="5"/>
      <c r="S396" s="5"/>
      <c r="T396" s="5"/>
      <c r="U396" s="5"/>
    </row>
    <row r="397" spans="16:21" x14ac:dyDescent="0.2">
      <c r="P397" s="5"/>
      <c r="Q397" s="5"/>
      <c r="R397" s="5"/>
      <c r="S397" s="5"/>
      <c r="T397" s="5"/>
      <c r="U397" s="5"/>
    </row>
    <row r="398" spans="16:21" x14ac:dyDescent="0.2">
      <c r="P398" s="5"/>
      <c r="Q398" s="5"/>
      <c r="R398" s="5"/>
      <c r="S398" s="5"/>
      <c r="T398" s="5"/>
      <c r="U398" s="5"/>
    </row>
    <row r="399" spans="16:21" x14ac:dyDescent="0.2">
      <c r="P399" s="5"/>
      <c r="Q399" s="5"/>
      <c r="R399" s="5"/>
      <c r="S399" s="5"/>
      <c r="T399" s="5"/>
      <c r="U399" s="5"/>
    </row>
    <row r="400" spans="16:21" x14ac:dyDescent="0.2">
      <c r="P400" s="5"/>
      <c r="Q400" s="5"/>
      <c r="R400" s="5"/>
      <c r="S400" s="5"/>
      <c r="T400" s="5"/>
      <c r="U400" s="5"/>
    </row>
    <row r="401" spans="16:21" x14ac:dyDescent="0.2">
      <c r="P401" s="5"/>
      <c r="Q401" s="5"/>
      <c r="R401" s="5"/>
      <c r="S401" s="5"/>
      <c r="T401" s="5"/>
      <c r="U401" s="5"/>
    </row>
    <row r="402" spans="16:21" x14ac:dyDescent="0.2">
      <c r="P402" s="5"/>
      <c r="Q402" s="5"/>
      <c r="R402" s="5"/>
      <c r="S402" s="5"/>
      <c r="T402" s="5"/>
      <c r="U402" s="5"/>
    </row>
    <row r="403" spans="16:21" x14ac:dyDescent="0.2">
      <c r="P403" s="5"/>
      <c r="Q403" s="5"/>
      <c r="R403" s="5"/>
      <c r="S403" s="5"/>
      <c r="T403" s="5"/>
      <c r="U403" s="5"/>
    </row>
    <row r="404" spans="16:21" x14ac:dyDescent="0.2">
      <c r="P404" s="5"/>
      <c r="Q404" s="5"/>
      <c r="R404" s="5"/>
      <c r="S404" s="5"/>
      <c r="T404" s="5"/>
      <c r="U404" s="5"/>
    </row>
    <row r="405" spans="16:21" x14ac:dyDescent="0.2">
      <c r="P405" s="5"/>
      <c r="Q405" s="5"/>
      <c r="R405" s="5"/>
      <c r="S405" s="5"/>
      <c r="T405" s="5"/>
      <c r="U405" s="5"/>
    </row>
    <row r="406" spans="16:21" x14ac:dyDescent="0.2">
      <c r="P406" s="5"/>
      <c r="Q406" s="5"/>
      <c r="R406" s="5"/>
      <c r="S406" s="5"/>
      <c r="T406" s="5"/>
      <c r="U406" s="5"/>
    </row>
    <row r="407" spans="16:21" x14ac:dyDescent="0.2">
      <c r="P407" s="5"/>
      <c r="Q407" s="5"/>
      <c r="R407" s="5"/>
      <c r="S407" s="5"/>
      <c r="T407" s="5"/>
      <c r="U407" s="5"/>
    </row>
  </sheetData>
  <mergeCells count="20">
    <mergeCell ref="I242:J242"/>
    <mergeCell ref="I243:J243"/>
    <mergeCell ref="D242:E242"/>
    <mergeCell ref="D243:E243"/>
    <mergeCell ref="B3:V3"/>
    <mergeCell ref="B223:D223"/>
    <mergeCell ref="B65:D65"/>
    <mergeCell ref="B84:D84"/>
    <mergeCell ref="B118:D118"/>
    <mergeCell ref="B126:D126"/>
    <mergeCell ref="B155:D155"/>
    <mergeCell ref="B213:D213"/>
    <mergeCell ref="X13:Y13"/>
    <mergeCell ref="Z13:AE13"/>
    <mergeCell ref="B16:D16"/>
    <mergeCell ref="B30:D30"/>
    <mergeCell ref="B47:D47"/>
    <mergeCell ref="J13:O13"/>
    <mergeCell ref="P13:U13"/>
    <mergeCell ref="V13:W13"/>
  </mergeCells>
  <conditionalFormatting sqref="C161">
    <cfRule type="duplicateValues" dxfId="14" priority="7"/>
  </conditionalFormatting>
  <conditionalFormatting sqref="C80">
    <cfRule type="duplicateValues" dxfId="13" priority="6"/>
  </conditionalFormatting>
  <conditionalFormatting sqref="C94">
    <cfRule type="duplicateValues" dxfId="12" priority="5"/>
  </conditionalFormatting>
  <conditionalFormatting sqref="C104">
    <cfRule type="duplicateValues" dxfId="11" priority="4"/>
  </conditionalFormatting>
  <conditionalFormatting sqref="C108">
    <cfRule type="duplicateValues" dxfId="10" priority="3"/>
  </conditionalFormatting>
  <conditionalFormatting sqref="C110">
    <cfRule type="duplicateValues" dxfId="9" priority="2"/>
  </conditionalFormatting>
  <conditionalFormatting sqref="C135">
    <cfRule type="duplicateValues" dxfId="8" priority="1"/>
  </conditionalFormatting>
  <pageMargins left="0.74791666666666701" right="0.74791666666666701" top="0.98402777777777795" bottom="0.98402777777777795" header="0.5" footer="0.5"/>
  <pageSetup scale="20" firstPageNumber="0" orientation="landscape" r:id="rId1"/>
  <headerFooter alignWithMargins="0">
    <oddHeader xml:space="preserve">&amp;C&amp;"Arial,Bold"Draft   PSP Workplans and Budgets 2015&amp;"Arial,Regular"
</oddHeader>
    <oddFooter>&amp;C&amp;12&amp;P&amp;R&amp;D&amp;T</oddFooter>
  </headerFooter>
  <rowBreaks count="12" manualBreakCount="12">
    <brk id="11" max="19" man="1"/>
    <brk id="28" max="19" man="1"/>
    <brk id="45" max="31" man="1"/>
    <brk id="75" max="19" man="1"/>
    <brk id="100" max="19" man="1"/>
    <brk id="114" max="19" man="1"/>
    <brk id="123" max="19" man="1"/>
    <brk id="136" max="19" man="1"/>
    <brk id="153" max="19" man="1"/>
    <brk id="184" max="30" man="1"/>
    <brk id="209" max="19" man="1"/>
    <brk id="221" max="1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5"/>
  <sheetViews>
    <sheetView tabSelected="1" zoomScale="90" zoomScaleNormal="90" workbookViewId="0">
      <selection sqref="A1:M1"/>
    </sheetView>
  </sheetViews>
  <sheetFormatPr defaultRowHeight="12.75" x14ac:dyDescent="0.2"/>
  <cols>
    <col min="1" max="1" width="11" customWidth="1"/>
    <col min="2" max="2" width="12.5703125" customWidth="1"/>
    <col min="3" max="3" width="15.28515625" customWidth="1"/>
    <col min="4" max="4" width="34.42578125" customWidth="1"/>
    <col min="5" max="5" width="12.140625" customWidth="1"/>
    <col min="8" max="8" width="20.140625" style="2549" bestFit="1" customWidth="1"/>
    <col min="9" max="9" width="18" style="2626" bestFit="1" customWidth="1"/>
    <col min="10" max="10" width="13.85546875" customWidth="1"/>
    <col min="11" max="11" width="9.85546875" bestFit="1" customWidth="1"/>
    <col min="12" max="12" width="12.42578125" bestFit="1" customWidth="1"/>
    <col min="13" max="13" width="17.28515625" style="2549" bestFit="1" customWidth="1"/>
    <col min="15" max="15" width="10.140625" bestFit="1" customWidth="1"/>
    <col min="256" max="257" width="15.5703125" customWidth="1"/>
    <col min="258" max="258" width="34" customWidth="1"/>
    <col min="259" max="259" width="34.42578125" customWidth="1"/>
    <col min="260" max="260" width="12.140625" customWidth="1"/>
    <col min="263" max="263" width="20.140625" bestFit="1" customWidth="1"/>
    <col min="264" max="264" width="4.7109375" customWidth="1"/>
    <col min="265" max="265" width="13.85546875" customWidth="1"/>
    <col min="266" max="266" width="9.85546875" bestFit="1" customWidth="1"/>
    <col min="267" max="267" width="12.42578125" bestFit="1" customWidth="1"/>
    <col min="268" max="268" width="17.28515625" bestFit="1" customWidth="1"/>
    <col min="269" max="269" width="11.85546875" bestFit="1" customWidth="1"/>
    <col min="512" max="513" width="15.5703125" customWidth="1"/>
    <col min="514" max="514" width="34" customWidth="1"/>
    <col min="515" max="515" width="34.42578125" customWidth="1"/>
    <col min="516" max="516" width="12.140625" customWidth="1"/>
    <col min="519" max="519" width="20.140625" bestFit="1" customWidth="1"/>
    <col min="520" max="520" width="4.7109375" customWidth="1"/>
    <col min="521" max="521" width="13.85546875" customWidth="1"/>
    <col min="522" max="522" width="9.85546875" bestFit="1" customWidth="1"/>
    <col min="523" max="523" width="12.42578125" bestFit="1" customWidth="1"/>
    <col min="524" max="524" width="17.28515625" bestFit="1" customWidth="1"/>
    <col min="525" max="525" width="11.85546875" bestFit="1" customWidth="1"/>
    <col min="768" max="769" width="15.5703125" customWidth="1"/>
    <col min="770" max="770" width="34" customWidth="1"/>
    <col min="771" max="771" width="34.42578125" customWidth="1"/>
    <col min="772" max="772" width="12.140625" customWidth="1"/>
    <col min="775" max="775" width="20.140625" bestFit="1" customWidth="1"/>
    <col min="776" max="776" width="4.7109375" customWidth="1"/>
    <col min="777" max="777" width="13.85546875" customWidth="1"/>
    <col min="778" max="778" width="9.85546875" bestFit="1" customWidth="1"/>
    <col min="779" max="779" width="12.42578125" bestFit="1" customWidth="1"/>
    <col min="780" max="780" width="17.28515625" bestFit="1" customWidth="1"/>
    <col min="781" max="781" width="11.85546875" bestFit="1" customWidth="1"/>
    <col min="1024" max="1025" width="15.5703125" customWidth="1"/>
    <col min="1026" max="1026" width="34" customWidth="1"/>
    <col min="1027" max="1027" width="34.42578125" customWidth="1"/>
    <col min="1028" max="1028" width="12.140625" customWidth="1"/>
    <col min="1031" max="1031" width="20.140625" bestFit="1" customWidth="1"/>
    <col min="1032" max="1032" width="4.7109375" customWidth="1"/>
    <col min="1033" max="1033" width="13.85546875" customWidth="1"/>
    <col min="1034" max="1034" width="9.85546875" bestFit="1" customWidth="1"/>
    <col min="1035" max="1035" width="12.42578125" bestFit="1" customWidth="1"/>
    <col min="1036" max="1036" width="17.28515625" bestFit="1" customWidth="1"/>
    <col min="1037" max="1037" width="11.85546875" bestFit="1" customWidth="1"/>
    <col min="1280" max="1281" width="15.5703125" customWidth="1"/>
    <col min="1282" max="1282" width="34" customWidth="1"/>
    <col min="1283" max="1283" width="34.42578125" customWidth="1"/>
    <col min="1284" max="1284" width="12.140625" customWidth="1"/>
    <col min="1287" max="1287" width="20.140625" bestFit="1" customWidth="1"/>
    <col min="1288" max="1288" width="4.7109375" customWidth="1"/>
    <col min="1289" max="1289" width="13.85546875" customWidth="1"/>
    <col min="1290" max="1290" width="9.85546875" bestFit="1" customWidth="1"/>
    <col min="1291" max="1291" width="12.42578125" bestFit="1" customWidth="1"/>
    <col min="1292" max="1292" width="17.28515625" bestFit="1" customWidth="1"/>
    <col min="1293" max="1293" width="11.85546875" bestFit="1" customWidth="1"/>
    <col min="1536" max="1537" width="15.5703125" customWidth="1"/>
    <col min="1538" max="1538" width="34" customWidth="1"/>
    <col min="1539" max="1539" width="34.42578125" customWidth="1"/>
    <col min="1540" max="1540" width="12.140625" customWidth="1"/>
    <col min="1543" max="1543" width="20.140625" bestFit="1" customWidth="1"/>
    <col min="1544" max="1544" width="4.7109375" customWidth="1"/>
    <col min="1545" max="1545" width="13.85546875" customWidth="1"/>
    <col min="1546" max="1546" width="9.85546875" bestFit="1" customWidth="1"/>
    <col min="1547" max="1547" width="12.42578125" bestFit="1" customWidth="1"/>
    <col min="1548" max="1548" width="17.28515625" bestFit="1" customWidth="1"/>
    <col min="1549" max="1549" width="11.85546875" bestFit="1" customWidth="1"/>
    <col min="1792" max="1793" width="15.5703125" customWidth="1"/>
    <col min="1794" max="1794" width="34" customWidth="1"/>
    <col min="1795" max="1795" width="34.42578125" customWidth="1"/>
    <col min="1796" max="1796" width="12.140625" customWidth="1"/>
    <col min="1799" max="1799" width="20.140625" bestFit="1" customWidth="1"/>
    <col min="1800" max="1800" width="4.7109375" customWidth="1"/>
    <col min="1801" max="1801" width="13.85546875" customWidth="1"/>
    <col min="1802" max="1802" width="9.85546875" bestFit="1" customWidth="1"/>
    <col min="1803" max="1803" width="12.42578125" bestFit="1" customWidth="1"/>
    <col min="1804" max="1804" width="17.28515625" bestFit="1" customWidth="1"/>
    <col min="1805" max="1805" width="11.85546875" bestFit="1" customWidth="1"/>
    <col min="2048" max="2049" width="15.5703125" customWidth="1"/>
    <col min="2050" max="2050" width="34" customWidth="1"/>
    <col min="2051" max="2051" width="34.42578125" customWidth="1"/>
    <col min="2052" max="2052" width="12.140625" customWidth="1"/>
    <col min="2055" max="2055" width="20.140625" bestFit="1" customWidth="1"/>
    <col min="2056" max="2056" width="4.7109375" customWidth="1"/>
    <col min="2057" max="2057" width="13.85546875" customWidth="1"/>
    <col min="2058" max="2058" width="9.85546875" bestFit="1" customWidth="1"/>
    <col min="2059" max="2059" width="12.42578125" bestFit="1" customWidth="1"/>
    <col min="2060" max="2060" width="17.28515625" bestFit="1" customWidth="1"/>
    <col min="2061" max="2061" width="11.85546875" bestFit="1" customWidth="1"/>
    <col min="2304" max="2305" width="15.5703125" customWidth="1"/>
    <col min="2306" max="2306" width="34" customWidth="1"/>
    <col min="2307" max="2307" width="34.42578125" customWidth="1"/>
    <col min="2308" max="2308" width="12.140625" customWidth="1"/>
    <col min="2311" max="2311" width="20.140625" bestFit="1" customWidth="1"/>
    <col min="2312" max="2312" width="4.7109375" customWidth="1"/>
    <col min="2313" max="2313" width="13.85546875" customWidth="1"/>
    <col min="2314" max="2314" width="9.85546875" bestFit="1" customWidth="1"/>
    <col min="2315" max="2315" width="12.42578125" bestFit="1" customWidth="1"/>
    <col min="2316" max="2316" width="17.28515625" bestFit="1" customWidth="1"/>
    <col min="2317" max="2317" width="11.85546875" bestFit="1" customWidth="1"/>
    <col min="2560" max="2561" width="15.5703125" customWidth="1"/>
    <col min="2562" max="2562" width="34" customWidth="1"/>
    <col min="2563" max="2563" width="34.42578125" customWidth="1"/>
    <col min="2564" max="2564" width="12.140625" customWidth="1"/>
    <col min="2567" max="2567" width="20.140625" bestFit="1" customWidth="1"/>
    <col min="2568" max="2568" width="4.7109375" customWidth="1"/>
    <col min="2569" max="2569" width="13.85546875" customWidth="1"/>
    <col min="2570" max="2570" width="9.85546875" bestFit="1" customWidth="1"/>
    <col min="2571" max="2571" width="12.42578125" bestFit="1" customWidth="1"/>
    <col min="2572" max="2572" width="17.28515625" bestFit="1" customWidth="1"/>
    <col min="2573" max="2573" width="11.85546875" bestFit="1" customWidth="1"/>
    <col min="2816" max="2817" width="15.5703125" customWidth="1"/>
    <col min="2818" max="2818" width="34" customWidth="1"/>
    <col min="2819" max="2819" width="34.42578125" customWidth="1"/>
    <col min="2820" max="2820" width="12.140625" customWidth="1"/>
    <col min="2823" max="2823" width="20.140625" bestFit="1" customWidth="1"/>
    <col min="2824" max="2824" width="4.7109375" customWidth="1"/>
    <col min="2825" max="2825" width="13.85546875" customWidth="1"/>
    <col min="2826" max="2826" width="9.85546875" bestFit="1" customWidth="1"/>
    <col min="2827" max="2827" width="12.42578125" bestFit="1" customWidth="1"/>
    <col min="2828" max="2828" width="17.28515625" bestFit="1" customWidth="1"/>
    <col min="2829" max="2829" width="11.85546875" bestFit="1" customWidth="1"/>
    <col min="3072" max="3073" width="15.5703125" customWidth="1"/>
    <col min="3074" max="3074" width="34" customWidth="1"/>
    <col min="3075" max="3075" width="34.42578125" customWidth="1"/>
    <col min="3076" max="3076" width="12.140625" customWidth="1"/>
    <col min="3079" max="3079" width="20.140625" bestFit="1" customWidth="1"/>
    <col min="3080" max="3080" width="4.7109375" customWidth="1"/>
    <col min="3081" max="3081" width="13.85546875" customWidth="1"/>
    <col min="3082" max="3082" width="9.85546875" bestFit="1" customWidth="1"/>
    <col min="3083" max="3083" width="12.42578125" bestFit="1" customWidth="1"/>
    <col min="3084" max="3084" width="17.28515625" bestFit="1" customWidth="1"/>
    <col min="3085" max="3085" width="11.85546875" bestFit="1" customWidth="1"/>
    <col min="3328" max="3329" width="15.5703125" customWidth="1"/>
    <col min="3330" max="3330" width="34" customWidth="1"/>
    <col min="3331" max="3331" width="34.42578125" customWidth="1"/>
    <col min="3332" max="3332" width="12.140625" customWidth="1"/>
    <col min="3335" max="3335" width="20.140625" bestFit="1" customWidth="1"/>
    <col min="3336" max="3336" width="4.7109375" customWidth="1"/>
    <col min="3337" max="3337" width="13.85546875" customWidth="1"/>
    <col min="3338" max="3338" width="9.85546875" bestFit="1" customWidth="1"/>
    <col min="3339" max="3339" width="12.42578125" bestFit="1" customWidth="1"/>
    <col min="3340" max="3340" width="17.28515625" bestFit="1" customWidth="1"/>
    <col min="3341" max="3341" width="11.85546875" bestFit="1" customWidth="1"/>
    <col min="3584" max="3585" width="15.5703125" customWidth="1"/>
    <col min="3586" max="3586" width="34" customWidth="1"/>
    <col min="3587" max="3587" width="34.42578125" customWidth="1"/>
    <col min="3588" max="3588" width="12.140625" customWidth="1"/>
    <col min="3591" max="3591" width="20.140625" bestFit="1" customWidth="1"/>
    <col min="3592" max="3592" width="4.7109375" customWidth="1"/>
    <col min="3593" max="3593" width="13.85546875" customWidth="1"/>
    <col min="3594" max="3594" width="9.85546875" bestFit="1" customWidth="1"/>
    <col min="3595" max="3595" width="12.42578125" bestFit="1" customWidth="1"/>
    <col min="3596" max="3596" width="17.28515625" bestFit="1" customWidth="1"/>
    <col min="3597" max="3597" width="11.85546875" bestFit="1" customWidth="1"/>
    <col min="3840" max="3841" width="15.5703125" customWidth="1"/>
    <col min="3842" max="3842" width="34" customWidth="1"/>
    <col min="3843" max="3843" width="34.42578125" customWidth="1"/>
    <col min="3844" max="3844" width="12.140625" customWidth="1"/>
    <col min="3847" max="3847" width="20.140625" bestFit="1" customWidth="1"/>
    <col min="3848" max="3848" width="4.7109375" customWidth="1"/>
    <col min="3849" max="3849" width="13.85546875" customWidth="1"/>
    <col min="3850" max="3850" width="9.85546875" bestFit="1" customWidth="1"/>
    <col min="3851" max="3851" width="12.42578125" bestFit="1" customWidth="1"/>
    <col min="3852" max="3852" width="17.28515625" bestFit="1" customWidth="1"/>
    <col min="3853" max="3853" width="11.85546875" bestFit="1" customWidth="1"/>
    <col min="4096" max="4097" width="15.5703125" customWidth="1"/>
    <col min="4098" max="4098" width="34" customWidth="1"/>
    <col min="4099" max="4099" width="34.42578125" customWidth="1"/>
    <col min="4100" max="4100" width="12.140625" customWidth="1"/>
    <col min="4103" max="4103" width="20.140625" bestFit="1" customWidth="1"/>
    <col min="4104" max="4104" width="4.7109375" customWidth="1"/>
    <col min="4105" max="4105" width="13.85546875" customWidth="1"/>
    <col min="4106" max="4106" width="9.85546875" bestFit="1" customWidth="1"/>
    <col min="4107" max="4107" width="12.42578125" bestFit="1" customWidth="1"/>
    <col min="4108" max="4108" width="17.28515625" bestFit="1" customWidth="1"/>
    <col min="4109" max="4109" width="11.85546875" bestFit="1" customWidth="1"/>
    <col min="4352" max="4353" width="15.5703125" customWidth="1"/>
    <col min="4354" max="4354" width="34" customWidth="1"/>
    <col min="4355" max="4355" width="34.42578125" customWidth="1"/>
    <col min="4356" max="4356" width="12.140625" customWidth="1"/>
    <col min="4359" max="4359" width="20.140625" bestFit="1" customWidth="1"/>
    <col min="4360" max="4360" width="4.7109375" customWidth="1"/>
    <col min="4361" max="4361" width="13.85546875" customWidth="1"/>
    <col min="4362" max="4362" width="9.85546875" bestFit="1" customWidth="1"/>
    <col min="4363" max="4363" width="12.42578125" bestFit="1" customWidth="1"/>
    <col min="4364" max="4364" width="17.28515625" bestFit="1" customWidth="1"/>
    <col min="4365" max="4365" width="11.85546875" bestFit="1" customWidth="1"/>
    <col min="4608" max="4609" width="15.5703125" customWidth="1"/>
    <col min="4610" max="4610" width="34" customWidth="1"/>
    <col min="4611" max="4611" width="34.42578125" customWidth="1"/>
    <col min="4612" max="4612" width="12.140625" customWidth="1"/>
    <col min="4615" max="4615" width="20.140625" bestFit="1" customWidth="1"/>
    <col min="4616" max="4616" width="4.7109375" customWidth="1"/>
    <col min="4617" max="4617" width="13.85546875" customWidth="1"/>
    <col min="4618" max="4618" width="9.85546875" bestFit="1" customWidth="1"/>
    <col min="4619" max="4619" width="12.42578125" bestFit="1" customWidth="1"/>
    <col min="4620" max="4620" width="17.28515625" bestFit="1" customWidth="1"/>
    <col min="4621" max="4621" width="11.85546875" bestFit="1" customWidth="1"/>
    <col min="4864" max="4865" width="15.5703125" customWidth="1"/>
    <col min="4866" max="4866" width="34" customWidth="1"/>
    <col min="4867" max="4867" width="34.42578125" customWidth="1"/>
    <col min="4868" max="4868" width="12.140625" customWidth="1"/>
    <col min="4871" max="4871" width="20.140625" bestFit="1" customWidth="1"/>
    <col min="4872" max="4872" width="4.7109375" customWidth="1"/>
    <col min="4873" max="4873" width="13.85546875" customWidth="1"/>
    <col min="4874" max="4874" width="9.85546875" bestFit="1" customWidth="1"/>
    <col min="4875" max="4875" width="12.42578125" bestFit="1" customWidth="1"/>
    <col min="4876" max="4876" width="17.28515625" bestFit="1" customWidth="1"/>
    <col min="4877" max="4877" width="11.85546875" bestFit="1" customWidth="1"/>
    <col min="5120" max="5121" width="15.5703125" customWidth="1"/>
    <col min="5122" max="5122" width="34" customWidth="1"/>
    <col min="5123" max="5123" width="34.42578125" customWidth="1"/>
    <col min="5124" max="5124" width="12.140625" customWidth="1"/>
    <col min="5127" max="5127" width="20.140625" bestFit="1" customWidth="1"/>
    <col min="5128" max="5128" width="4.7109375" customWidth="1"/>
    <col min="5129" max="5129" width="13.85546875" customWidth="1"/>
    <col min="5130" max="5130" width="9.85546875" bestFit="1" customWidth="1"/>
    <col min="5131" max="5131" width="12.42578125" bestFit="1" customWidth="1"/>
    <col min="5132" max="5132" width="17.28515625" bestFit="1" customWidth="1"/>
    <col min="5133" max="5133" width="11.85546875" bestFit="1" customWidth="1"/>
    <col min="5376" max="5377" width="15.5703125" customWidth="1"/>
    <col min="5378" max="5378" width="34" customWidth="1"/>
    <col min="5379" max="5379" width="34.42578125" customWidth="1"/>
    <col min="5380" max="5380" width="12.140625" customWidth="1"/>
    <col min="5383" max="5383" width="20.140625" bestFit="1" customWidth="1"/>
    <col min="5384" max="5384" width="4.7109375" customWidth="1"/>
    <col min="5385" max="5385" width="13.85546875" customWidth="1"/>
    <col min="5386" max="5386" width="9.85546875" bestFit="1" customWidth="1"/>
    <col min="5387" max="5387" width="12.42578125" bestFit="1" customWidth="1"/>
    <col min="5388" max="5388" width="17.28515625" bestFit="1" customWidth="1"/>
    <col min="5389" max="5389" width="11.85546875" bestFit="1" customWidth="1"/>
    <col min="5632" max="5633" width="15.5703125" customWidth="1"/>
    <col min="5634" max="5634" width="34" customWidth="1"/>
    <col min="5635" max="5635" width="34.42578125" customWidth="1"/>
    <col min="5636" max="5636" width="12.140625" customWidth="1"/>
    <col min="5639" max="5639" width="20.140625" bestFit="1" customWidth="1"/>
    <col min="5640" max="5640" width="4.7109375" customWidth="1"/>
    <col min="5641" max="5641" width="13.85546875" customWidth="1"/>
    <col min="5642" max="5642" width="9.85546875" bestFit="1" customWidth="1"/>
    <col min="5643" max="5643" width="12.42578125" bestFit="1" customWidth="1"/>
    <col min="5644" max="5644" width="17.28515625" bestFit="1" customWidth="1"/>
    <col min="5645" max="5645" width="11.85546875" bestFit="1" customWidth="1"/>
    <col min="5888" max="5889" width="15.5703125" customWidth="1"/>
    <col min="5890" max="5890" width="34" customWidth="1"/>
    <col min="5891" max="5891" width="34.42578125" customWidth="1"/>
    <col min="5892" max="5892" width="12.140625" customWidth="1"/>
    <col min="5895" max="5895" width="20.140625" bestFit="1" customWidth="1"/>
    <col min="5896" max="5896" width="4.7109375" customWidth="1"/>
    <col min="5897" max="5897" width="13.85546875" customWidth="1"/>
    <col min="5898" max="5898" width="9.85546875" bestFit="1" customWidth="1"/>
    <col min="5899" max="5899" width="12.42578125" bestFit="1" customWidth="1"/>
    <col min="5900" max="5900" width="17.28515625" bestFit="1" customWidth="1"/>
    <col min="5901" max="5901" width="11.85546875" bestFit="1" customWidth="1"/>
    <col min="6144" max="6145" width="15.5703125" customWidth="1"/>
    <col min="6146" max="6146" width="34" customWidth="1"/>
    <col min="6147" max="6147" width="34.42578125" customWidth="1"/>
    <col min="6148" max="6148" width="12.140625" customWidth="1"/>
    <col min="6151" max="6151" width="20.140625" bestFit="1" customWidth="1"/>
    <col min="6152" max="6152" width="4.7109375" customWidth="1"/>
    <col min="6153" max="6153" width="13.85546875" customWidth="1"/>
    <col min="6154" max="6154" width="9.85546875" bestFit="1" customWidth="1"/>
    <col min="6155" max="6155" width="12.42578125" bestFit="1" customWidth="1"/>
    <col min="6156" max="6156" width="17.28515625" bestFit="1" customWidth="1"/>
    <col min="6157" max="6157" width="11.85546875" bestFit="1" customWidth="1"/>
    <col min="6400" max="6401" width="15.5703125" customWidth="1"/>
    <col min="6402" max="6402" width="34" customWidth="1"/>
    <col min="6403" max="6403" width="34.42578125" customWidth="1"/>
    <col min="6404" max="6404" width="12.140625" customWidth="1"/>
    <col min="6407" max="6407" width="20.140625" bestFit="1" customWidth="1"/>
    <col min="6408" max="6408" width="4.7109375" customWidth="1"/>
    <col min="6409" max="6409" width="13.85546875" customWidth="1"/>
    <col min="6410" max="6410" width="9.85546875" bestFit="1" customWidth="1"/>
    <col min="6411" max="6411" width="12.42578125" bestFit="1" customWidth="1"/>
    <col min="6412" max="6412" width="17.28515625" bestFit="1" customWidth="1"/>
    <col min="6413" max="6413" width="11.85546875" bestFit="1" customWidth="1"/>
    <col min="6656" max="6657" width="15.5703125" customWidth="1"/>
    <col min="6658" max="6658" width="34" customWidth="1"/>
    <col min="6659" max="6659" width="34.42578125" customWidth="1"/>
    <col min="6660" max="6660" width="12.140625" customWidth="1"/>
    <col min="6663" max="6663" width="20.140625" bestFit="1" customWidth="1"/>
    <col min="6664" max="6664" width="4.7109375" customWidth="1"/>
    <col min="6665" max="6665" width="13.85546875" customWidth="1"/>
    <col min="6666" max="6666" width="9.85546875" bestFit="1" customWidth="1"/>
    <col min="6667" max="6667" width="12.42578125" bestFit="1" customWidth="1"/>
    <col min="6668" max="6668" width="17.28515625" bestFit="1" customWidth="1"/>
    <col min="6669" max="6669" width="11.85546875" bestFit="1" customWidth="1"/>
    <col min="6912" max="6913" width="15.5703125" customWidth="1"/>
    <col min="6914" max="6914" width="34" customWidth="1"/>
    <col min="6915" max="6915" width="34.42578125" customWidth="1"/>
    <col min="6916" max="6916" width="12.140625" customWidth="1"/>
    <col min="6919" max="6919" width="20.140625" bestFit="1" customWidth="1"/>
    <col min="6920" max="6920" width="4.7109375" customWidth="1"/>
    <col min="6921" max="6921" width="13.85546875" customWidth="1"/>
    <col min="6922" max="6922" width="9.85546875" bestFit="1" customWidth="1"/>
    <col min="6923" max="6923" width="12.42578125" bestFit="1" customWidth="1"/>
    <col min="6924" max="6924" width="17.28515625" bestFit="1" customWidth="1"/>
    <col min="6925" max="6925" width="11.85546875" bestFit="1" customWidth="1"/>
    <col min="7168" max="7169" width="15.5703125" customWidth="1"/>
    <col min="7170" max="7170" width="34" customWidth="1"/>
    <col min="7171" max="7171" width="34.42578125" customWidth="1"/>
    <col min="7172" max="7172" width="12.140625" customWidth="1"/>
    <col min="7175" max="7175" width="20.140625" bestFit="1" customWidth="1"/>
    <col min="7176" max="7176" width="4.7109375" customWidth="1"/>
    <col min="7177" max="7177" width="13.85546875" customWidth="1"/>
    <col min="7178" max="7178" width="9.85546875" bestFit="1" customWidth="1"/>
    <col min="7179" max="7179" width="12.42578125" bestFit="1" customWidth="1"/>
    <col min="7180" max="7180" width="17.28515625" bestFit="1" customWidth="1"/>
    <col min="7181" max="7181" width="11.85546875" bestFit="1" customWidth="1"/>
    <col min="7424" max="7425" width="15.5703125" customWidth="1"/>
    <col min="7426" max="7426" width="34" customWidth="1"/>
    <col min="7427" max="7427" width="34.42578125" customWidth="1"/>
    <col min="7428" max="7428" width="12.140625" customWidth="1"/>
    <col min="7431" max="7431" width="20.140625" bestFit="1" customWidth="1"/>
    <col min="7432" max="7432" width="4.7109375" customWidth="1"/>
    <col min="7433" max="7433" width="13.85546875" customWidth="1"/>
    <col min="7434" max="7434" width="9.85546875" bestFit="1" customWidth="1"/>
    <col min="7435" max="7435" width="12.42578125" bestFit="1" customWidth="1"/>
    <col min="7436" max="7436" width="17.28515625" bestFit="1" customWidth="1"/>
    <col min="7437" max="7437" width="11.85546875" bestFit="1" customWidth="1"/>
    <col min="7680" max="7681" width="15.5703125" customWidth="1"/>
    <col min="7682" max="7682" width="34" customWidth="1"/>
    <col min="7683" max="7683" width="34.42578125" customWidth="1"/>
    <col min="7684" max="7684" width="12.140625" customWidth="1"/>
    <col min="7687" max="7687" width="20.140625" bestFit="1" customWidth="1"/>
    <col min="7688" max="7688" width="4.7109375" customWidth="1"/>
    <col min="7689" max="7689" width="13.85546875" customWidth="1"/>
    <col min="7690" max="7690" width="9.85546875" bestFit="1" customWidth="1"/>
    <col min="7691" max="7691" width="12.42578125" bestFit="1" customWidth="1"/>
    <col min="7692" max="7692" width="17.28515625" bestFit="1" customWidth="1"/>
    <col min="7693" max="7693" width="11.85546875" bestFit="1" customWidth="1"/>
    <col min="7936" max="7937" width="15.5703125" customWidth="1"/>
    <col min="7938" max="7938" width="34" customWidth="1"/>
    <col min="7939" max="7939" width="34.42578125" customWidth="1"/>
    <col min="7940" max="7940" width="12.140625" customWidth="1"/>
    <col min="7943" max="7943" width="20.140625" bestFit="1" customWidth="1"/>
    <col min="7944" max="7944" width="4.7109375" customWidth="1"/>
    <col min="7945" max="7945" width="13.85546875" customWidth="1"/>
    <col min="7946" max="7946" width="9.85546875" bestFit="1" customWidth="1"/>
    <col min="7947" max="7947" width="12.42578125" bestFit="1" customWidth="1"/>
    <col min="7948" max="7948" width="17.28515625" bestFit="1" customWidth="1"/>
    <col min="7949" max="7949" width="11.85546875" bestFit="1" customWidth="1"/>
    <col min="8192" max="8193" width="15.5703125" customWidth="1"/>
    <col min="8194" max="8194" width="34" customWidth="1"/>
    <col min="8195" max="8195" width="34.42578125" customWidth="1"/>
    <col min="8196" max="8196" width="12.140625" customWidth="1"/>
    <col min="8199" max="8199" width="20.140625" bestFit="1" customWidth="1"/>
    <col min="8200" max="8200" width="4.7109375" customWidth="1"/>
    <col min="8201" max="8201" width="13.85546875" customWidth="1"/>
    <col min="8202" max="8202" width="9.85546875" bestFit="1" customWidth="1"/>
    <col min="8203" max="8203" width="12.42578125" bestFit="1" customWidth="1"/>
    <col min="8204" max="8204" width="17.28515625" bestFit="1" customWidth="1"/>
    <col min="8205" max="8205" width="11.85546875" bestFit="1" customWidth="1"/>
    <col min="8448" max="8449" width="15.5703125" customWidth="1"/>
    <col min="8450" max="8450" width="34" customWidth="1"/>
    <col min="8451" max="8451" width="34.42578125" customWidth="1"/>
    <col min="8452" max="8452" width="12.140625" customWidth="1"/>
    <col min="8455" max="8455" width="20.140625" bestFit="1" customWidth="1"/>
    <col min="8456" max="8456" width="4.7109375" customWidth="1"/>
    <col min="8457" max="8457" width="13.85546875" customWidth="1"/>
    <col min="8458" max="8458" width="9.85546875" bestFit="1" customWidth="1"/>
    <col min="8459" max="8459" width="12.42578125" bestFit="1" customWidth="1"/>
    <col min="8460" max="8460" width="17.28515625" bestFit="1" customWidth="1"/>
    <col min="8461" max="8461" width="11.85546875" bestFit="1" customWidth="1"/>
    <col min="8704" max="8705" width="15.5703125" customWidth="1"/>
    <col min="8706" max="8706" width="34" customWidth="1"/>
    <col min="8707" max="8707" width="34.42578125" customWidth="1"/>
    <col min="8708" max="8708" width="12.140625" customWidth="1"/>
    <col min="8711" max="8711" width="20.140625" bestFit="1" customWidth="1"/>
    <col min="8712" max="8712" width="4.7109375" customWidth="1"/>
    <col min="8713" max="8713" width="13.85546875" customWidth="1"/>
    <col min="8714" max="8714" width="9.85546875" bestFit="1" customWidth="1"/>
    <col min="8715" max="8715" width="12.42578125" bestFit="1" customWidth="1"/>
    <col min="8716" max="8716" width="17.28515625" bestFit="1" customWidth="1"/>
    <col min="8717" max="8717" width="11.85546875" bestFit="1" customWidth="1"/>
    <col min="8960" max="8961" width="15.5703125" customWidth="1"/>
    <col min="8962" max="8962" width="34" customWidth="1"/>
    <col min="8963" max="8963" width="34.42578125" customWidth="1"/>
    <col min="8964" max="8964" width="12.140625" customWidth="1"/>
    <col min="8967" max="8967" width="20.140625" bestFit="1" customWidth="1"/>
    <col min="8968" max="8968" width="4.7109375" customWidth="1"/>
    <col min="8969" max="8969" width="13.85546875" customWidth="1"/>
    <col min="8970" max="8970" width="9.85546875" bestFit="1" customWidth="1"/>
    <col min="8971" max="8971" width="12.42578125" bestFit="1" customWidth="1"/>
    <col min="8972" max="8972" width="17.28515625" bestFit="1" customWidth="1"/>
    <col min="8973" max="8973" width="11.85546875" bestFit="1" customWidth="1"/>
    <col min="9216" max="9217" width="15.5703125" customWidth="1"/>
    <col min="9218" max="9218" width="34" customWidth="1"/>
    <col min="9219" max="9219" width="34.42578125" customWidth="1"/>
    <col min="9220" max="9220" width="12.140625" customWidth="1"/>
    <col min="9223" max="9223" width="20.140625" bestFit="1" customWidth="1"/>
    <col min="9224" max="9224" width="4.7109375" customWidth="1"/>
    <col min="9225" max="9225" width="13.85546875" customWidth="1"/>
    <col min="9226" max="9226" width="9.85546875" bestFit="1" customWidth="1"/>
    <col min="9227" max="9227" width="12.42578125" bestFit="1" customWidth="1"/>
    <col min="9228" max="9228" width="17.28515625" bestFit="1" customWidth="1"/>
    <col min="9229" max="9229" width="11.85546875" bestFit="1" customWidth="1"/>
    <col min="9472" max="9473" width="15.5703125" customWidth="1"/>
    <col min="9474" max="9474" width="34" customWidth="1"/>
    <col min="9475" max="9475" width="34.42578125" customWidth="1"/>
    <col min="9476" max="9476" width="12.140625" customWidth="1"/>
    <col min="9479" max="9479" width="20.140625" bestFit="1" customWidth="1"/>
    <col min="9480" max="9480" width="4.7109375" customWidth="1"/>
    <col min="9481" max="9481" width="13.85546875" customWidth="1"/>
    <col min="9482" max="9482" width="9.85546875" bestFit="1" customWidth="1"/>
    <col min="9483" max="9483" width="12.42578125" bestFit="1" customWidth="1"/>
    <col min="9484" max="9484" width="17.28515625" bestFit="1" customWidth="1"/>
    <col min="9485" max="9485" width="11.85546875" bestFit="1" customWidth="1"/>
    <col min="9728" max="9729" width="15.5703125" customWidth="1"/>
    <col min="9730" max="9730" width="34" customWidth="1"/>
    <col min="9731" max="9731" width="34.42578125" customWidth="1"/>
    <col min="9732" max="9732" width="12.140625" customWidth="1"/>
    <col min="9735" max="9735" width="20.140625" bestFit="1" customWidth="1"/>
    <col min="9736" max="9736" width="4.7109375" customWidth="1"/>
    <col min="9737" max="9737" width="13.85546875" customWidth="1"/>
    <col min="9738" max="9738" width="9.85546875" bestFit="1" customWidth="1"/>
    <col min="9739" max="9739" width="12.42578125" bestFit="1" customWidth="1"/>
    <col min="9740" max="9740" width="17.28515625" bestFit="1" customWidth="1"/>
    <col min="9741" max="9741" width="11.85546875" bestFit="1" customWidth="1"/>
    <col min="9984" max="9985" width="15.5703125" customWidth="1"/>
    <col min="9986" max="9986" width="34" customWidth="1"/>
    <col min="9987" max="9987" width="34.42578125" customWidth="1"/>
    <col min="9988" max="9988" width="12.140625" customWidth="1"/>
    <col min="9991" max="9991" width="20.140625" bestFit="1" customWidth="1"/>
    <col min="9992" max="9992" width="4.7109375" customWidth="1"/>
    <col min="9993" max="9993" width="13.85546875" customWidth="1"/>
    <col min="9994" max="9994" width="9.85546875" bestFit="1" customWidth="1"/>
    <col min="9995" max="9995" width="12.42578125" bestFit="1" customWidth="1"/>
    <col min="9996" max="9996" width="17.28515625" bestFit="1" customWidth="1"/>
    <col min="9997" max="9997" width="11.85546875" bestFit="1" customWidth="1"/>
    <col min="10240" max="10241" width="15.5703125" customWidth="1"/>
    <col min="10242" max="10242" width="34" customWidth="1"/>
    <col min="10243" max="10243" width="34.42578125" customWidth="1"/>
    <col min="10244" max="10244" width="12.140625" customWidth="1"/>
    <col min="10247" max="10247" width="20.140625" bestFit="1" customWidth="1"/>
    <col min="10248" max="10248" width="4.7109375" customWidth="1"/>
    <col min="10249" max="10249" width="13.85546875" customWidth="1"/>
    <col min="10250" max="10250" width="9.85546875" bestFit="1" customWidth="1"/>
    <col min="10251" max="10251" width="12.42578125" bestFit="1" customWidth="1"/>
    <col min="10252" max="10252" width="17.28515625" bestFit="1" customWidth="1"/>
    <col min="10253" max="10253" width="11.85546875" bestFit="1" customWidth="1"/>
    <col min="10496" max="10497" width="15.5703125" customWidth="1"/>
    <col min="10498" max="10498" width="34" customWidth="1"/>
    <col min="10499" max="10499" width="34.42578125" customWidth="1"/>
    <col min="10500" max="10500" width="12.140625" customWidth="1"/>
    <col min="10503" max="10503" width="20.140625" bestFit="1" customWidth="1"/>
    <col min="10504" max="10504" width="4.7109375" customWidth="1"/>
    <col min="10505" max="10505" width="13.85546875" customWidth="1"/>
    <col min="10506" max="10506" width="9.85546875" bestFit="1" customWidth="1"/>
    <col min="10507" max="10507" width="12.42578125" bestFit="1" customWidth="1"/>
    <col min="10508" max="10508" width="17.28515625" bestFit="1" customWidth="1"/>
    <col min="10509" max="10509" width="11.85546875" bestFit="1" customWidth="1"/>
    <col min="10752" max="10753" width="15.5703125" customWidth="1"/>
    <col min="10754" max="10754" width="34" customWidth="1"/>
    <col min="10755" max="10755" width="34.42578125" customWidth="1"/>
    <col min="10756" max="10756" width="12.140625" customWidth="1"/>
    <col min="10759" max="10759" width="20.140625" bestFit="1" customWidth="1"/>
    <col min="10760" max="10760" width="4.7109375" customWidth="1"/>
    <col min="10761" max="10761" width="13.85546875" customWidth="1"/>
    <col min="10762" max="10762" width="9.85546875" bestFit="1" customWidth="1"/>
    <col min="10763" max="10763" width="12.42578125" bestFit="1" customWidth="1"/>
    <col min="10764" max="10764" width="17.28515625" bestFit="1" customWidth="1"/>
    <col min="10765" max="10765" width="11.85546875" bestFit="1" customWidth="1"/>
    <col min="11008" max="11009" width="15.5703125" customWidth="1"/>
    <col min="11010" max="11010" width="34" customWidth="1"/>
    <col min="11011" max="11011" width="34.42578125" customWidth="1"/>
    <col min="11012" max="11012" width="12.140625" customWidth="1"/>
    <col min="11015" max="11015" width="20.140625" bestFit="1" customWidth="1"/>
    <col min="11016" max="11016" width="4.7109375" customWidth="1"/>
    <col min="11017" max="11017" width="13.85546875" customWidth="1"/>
    <col min="11018" max="11018" width="9.85546875" bestFit="1" customWidth="1"/>
    <col min="11019" max="11019" width="12.42578125" bestFit="1" customWidth="1"/>
    <col min="11020" max="11020" width="17.28515625" bestFit="1" customWidth="1"/>
    <col min="11021" max="11021" width="11.85546875" bestFit="1" customWidth="1"/>
    <col min="11264" max="11265" width="15.5703125" customWidth="1"/>
    <col min="11266" max="11266" width="34" customWidth="1"/>
    <col min="11267" max="11267" width="34.42578125" customWidth="1"/>
    <col min="11268" max="11268" width="12.140625" customWidth="1"/>
    <col min="11271" max="11271" width="20.140625" bestFit="1" customWidth="1"/>
    <col min="11272" max="11272" width="4.7109375" customWidth="1"/>
    <col min="11273" max="11273" width="13.85546875" customWidth="1"/>
    <col min="11274" max="11274" width="9.85546875" bestFit="1" customWidth="1"/>
    <col min="11275" max="11275" width="12.42578125" bestFit="1" customWidth="1"/>
    <col min="11276" max="11276" width="17.28515625" bestFit="1" customWidth="1"/>
    <col min="11277" max="11277" width="11.85546875" bestFit="1" customWidth="1"/>
    <col min="11520" max="11521" width="15.5703125" customWidth="1"/>
    <col min="11522" max="11522" width="34" customWidth="1"/>
    <col min="11523" max="11523" width="34.42578125" customWidth="1"/>
    <col min="11524" max="11524" width="12.140625" customWidth="1"/>
    <col min="11527" max="11527" width="20.140625" bestFit="1" customWidth="1"/>
    <col min="11528" max="11528" width="4.7109375" customWidth="1"/>
    <col min="11529" max="11529" width="13.85546875" customWidth="1"/>
    <col min="11530" max="11530" width="9.85546875" bestFit="1" customWidth="1"/>
    <col min="11531" max="11531" width="12.42578125" bestFit="1" customWidth="1"/>
    <col min="11532" max="11532" width="17.28515625" bestFit="1" customWidth="1"/>
    <col min="11533" max="11533" width="11.85546875" bestFit="1" customWidth="1"/>
    <col min="11776" max="11777" width="15.5703125" customWidth="1"/>
    <col min="11778" max="11778" width="34" customWidth="1"/>
    <col min="11779" max="11779" width="34.42578125" customWidth="1"/>
    <col min="11780" max="11780" width="12.140625" customWidth="1"/>
    <col min="11783" max="11783" width="20.140625" bestFit="1" customWidth="1"/>
    <col min="11784" max="11784" width="4.7109375" customWidth="1"/>
    <col min="11785" max="11785" width="13.85546875" customWidth="1"/>
    <col min="11786" max="11786" width="9.85546875" bestFit="1" customWidth="1"/>
    <col min="11787" max="11787" width="12.42578125" bestFit="1" customWidth="1"/>
    <col min="11788" max="11788" width="17.28515625" bestFit="1" customWidth="1"/>
    <col min="11789" max="11789" width="11.85546875" bestFit="1" customWidth="1"/>
    <col min="12032" max="12033" width="15.5703125" customWidth="1"/>
    <col min="12034" max="12034" width="34" customWidth="1"/>
    <col min="12035" max="12035" width="34.42578125" customWidth="1"/>
    <col min="12036" max="12036" width="12.140625" customWidth="1"/>
    <col min="12039" max="12039" width="20.140625" bestFit="1" customWidth="1"/>
    <col min="12040" max="12040" width="4.7109375" customWidth="1"/>
    <col min="12041" max="12041" width="13.85546875" customWidth="1"/>
    <col min="12042" max="12042" width="9.85546875" bestFit="1" customWidth="1"/>
    <col min="12043" max="12043" width="12.42578125" bestFit="1" customWidth="1"/>
    <col min="12044" max="12044" width="17.28515625" bestFit="1" customWidth="1"/>
    <col min="12045" max="12045" width="11.85546875" bestFit="1" customWidth="1"/>
    <col min="12288" max="12289" width="15.5703125" customWidth="1"/>
    <col min="12290" max="12290" width="34" customWidth="1"/>
    <col min="12291" max="12291" width="34.42578125" customWidth="1"/>
    <col min="12292" max="12292" width="12.140625" customWidth="1"/>
    <col min="12295" max="12295" width="20.140625" bestFit="1" customWidth="1"/>
    <col min="12296" max="12296" width="4.7109375" customWidth="1"/>
    <col min="12297" max="12297" width="13.85546875" customWidth="1"/>
    <col min="12298" max="12298" width="9.85546875" bestFit="1" customWidth="1"/>
    <col min="12299" max="12299" width="12.42578125" bestFit="1" customWidth="1"/>
    <col min="12300" max="12300" width="17.28515625" bestFit="1" customWidth="1"/>
    <col min="12301" max="12301" width="11.85546875" bestFit="1" customWidth="1"/>
    <col min="12544" max="12545" width="15.5703125" customWidth="1"/>
    <col min="12546" max="12546" width="34" customWidth="1"/>
    <col min="12547" max="12547" width="34.42578125" customWidth="1"/>
    <col min="12548" max="12548" width="12.140625" customWidth="1"/>
    <col min="12551" max="12551" width="20.140625" bestFit="1" customWidth="1"/>
    <col min="12552" max="12552" width="4.7109375" customWidth="1"/>
    <col min="12553" max="12553" width="13.85546875" customWidth="1"/>
    <col min="12554" max="12554" width="9.85546875" bestFit="1" customWidth="1"/>
    <col min="12555" max="12555" width="12.42578125" bestFit="1" customWidth="1"/>
    <col min="12556" max="12556" width="17.28515625" bestFit="1" customWidth="1"/>
    <col min="12557" max="12557" width="11.85546875" bestFit="1" customWidth="1"/>
    <col min="12800" max="12801" width="15.5703125" customWidth="1"/>
    <col min="12802" max="12802" width="34" customWidth="1"/>
    <col min="12803" max="12803" width="34.42578125" customWidth="1"/>
    <col min="12804" max="12804" width="12.140625" customWidth="1"/>
    <col min="12807" max="12807" width="20.140625" bestFit="1" customWidth="1"/>
    <col min="12808" max="12808" width="4.7109375" customWidth="1"/>
    <col min="12809" max="12809" width="13.85546875" customWidth="1"/>
    <col min="12810" max="12810" width="9.85546875" bestFit="1" customWidth="1"/>
    <col min="12811" max="12811" width="12.42578125" bestFit="1" customWidth="1"/>
    <col min="12812" max="12812" width="17.28515625" bestFit="1" customWidth="1"/>
    <col min="12813" max="12813" width="11.85546875" bestFit="1" customWidth="1"/>
    <col min="13056" max="13057" width="15.5703125" customWidth="1"/>
    <col min="13058" max="13058" width="34" customWidth="1"/>
    <col min="13059" max="13059" width="34.42578125" customWidth="1"/>
    <col min="13060" max="13060" width="12.140625" customWidth="1"/>
    <col min="13063" max="13063" width="20.140625" bestFit="1" customWidth="1"/>
    <col min="13064" max="13064" width="4.7109375" customWidth="1"/>
    <col min="13065" max="13065" width="13.85546875" customWidth="1"/>
    <col min="13066" max="13066" width="9.85546875" bestFit="1" customWidth="1"/>
    <col min="13067" max="13067" width="12.42578125" bestFit="1" customWidth="1"/>
    <col min="13068" max="13068" width="17.28515625" bestFit="1" customWidth="1"/>
    <col min="13069" max="13069" width="11.85546875" bestFit="1" customWidth="1"/>
    <col min="13312" max="13313" width="15.5703125" customWidth="1"/>
    <col min="13314" max="13314" width="34" customWidth="1"/>
    <col min="13315" max="13315" width="34.42578125" customWidth="1"/>
    <col min="13316" max="13316" width="12.140625" customWidth="1"/>
    <col min="13319" max="13319" width="20.140625" bestFit="1" customWidth="1"/>
    <col min="13320" max="13320" width="4.7109375" customWidth="1"/>
    <col min="13321" max="13321" width="13.85546875" customWidth="1"/>
    <col min="13322" max="13322" width="9.85546875" bestFit="1" customWidth="1"/>
    <col min="13323" max="13323" width="12.42578125" bestFit="1" customWidth="1"/>
    <col min="13324" max="13324" width="17.28515625" bestFit="1" customWidth="1"/>
    <col min="13325" max="13325" width="11.85546875" bestFit="1" customWidth="1"/>
    <col min="13568" max="13569" width="15.5703125" customWidth="1"/>
    <col min="13570" max="13570" width="34" customWidth="1"/>
    <col min="13571" max="13571" width="34.42578125" customWidth="1"/>
    <col min="13572" max="13572" width="12.140625" customWidth="1"/>
    <col min="13575" max="13575" width="20.140625" bestFit="1" customWidth="1"/>
    <col min="13576" max="13576" width="4.7109375" customWidth="1"/>
    <col min="13577" max="13577" width="13.85546875" customWidth="1"/>
    <col min="13578" max="13578" width="9.85546875" bestFit="1" customWidth="1"/>
    <col min="13579" max="13579" width="12.42578125" bestFit="1" customWidth="1"/>
    <col min="13580" max="13580" width="17.28515625" bestFit="1" customWidth="1"/>
    <col min="13581" max="13581" width="11.85546875" bestFit="1" customWidth="1"/>
    <col min="13824" max="13825" width="15.5703125" customWidth="1"/>
    <col min="13826" max="13826" width="34" customWidth="1"/>
    <col min="13827" max="13827" width="34.42578125" customWidth="1"/>
    <col min="13828" max="13828" width="12.140625" customWidth="1"/>
    <col min="13831" max="13831" width="20.140625" bestFit="1" customWidth="1"/>
    <col min="13832" max="13832" width="4.7109375" customWidth="1"/>
    <col min="13833" max="13833" width="13.85546875" customWidth="1"/>
    <col min="13834" max="13834" width="9.85546875" bestFit="1" customWidth="1"/>
    <col min="13835" max="13835" width="12.42578125" bestFit="1" customWidth="1"/>
    <col min="13836" max="13836" width="17.28515625" bestFit="1" customWidth="1"/>
    <col min="13837" max="13837" width="11.85546875" bestFit="1" customWidth="1"/>
    <col min="14080" max="14081" width="15.5703125" customWidth="1"/>
    <col min="14082" max="14082" width="34" customWidth="1"/>
    <col min="14083" max="14083" width="34.42578125" customWidth="1"/>
    <col min="14084" max="14084" width="12.140625" customWidth="1"/>
    <col min="14087" max="14087" width="20.140625" bestFit="1" customWidth="1"/>
    <col min="14088" max="14088" width="4.7109375" customWidth="1"/>
    <col min="14089" max="14089" width="13.85546875" customWidth="1"/>
    <col min="14090" max="14090" width="9.85546875" bestFit="1" customWidth="1"/>
    <col min="14091" max="14091" width="12.42578125" bestFit="1" customWidth="1"/>
    <col min="14092" max="14092" width="17.28515625" bestFit="1" customWidth="1"/>
    <col min="14093" max="14093" width="11.85546875" bestFit="1" customWidth="1"/>
    <col min="14336" max="14337" width="15.5703125" customWidth="1"/>
    <col min="14338" max="14338" width="34" customWidth="1"/>
    <col min="14339" max="14339" width="34.42578125" customWidth="1"/>
    <col min="14340" max="14340" width="12.140625" customWidth="1"/>
    <col min="14343" max="14343" width="20.140625" bestFit="1" customWidth="1"/>
    <col min="14344" max="14344" width="4.7109375" customWidth="1"/>
    <col min="14345" max="14345" width="13.85546875" customWidth="1"/>
    <col min="14346" max="14346" width="9.85546875" bestFit="1" customWidth="1"/>
    <col min="14347" max="14347" width="12.42578125" bestFit="1" customWidth="1"/>
    <col min="14348" max="14348" width="17.28515625" bestFit="1" customWidth="1"/>
    <col min="14349" max="14349" width="11.85546875" bestFit="1" customWidth="1"/>
    <col min="14592" max="14593" width="15.5703125" customWidth="1"/>
    <col min="14594" max="14594" width="34" customWidth="1"/>
    <col min="14595" max="14595" width="34.42578125" customWidth="1"/>
    <col min="14596" max="14596" width="12.140625" customWidth="1"/>
    <col min="14599" max="14599" width="20.140625" bestFit="1" customWidth="1"/>
    <col min="14600" max="14600" width="4.7109375" customWidth="1"/>
    <col min="14601" max="14601" width="13.85546875" customWidth="1"/>
    <col min="14602" max="14602" width="9.85546875" bestFit="1" customWidth="1"/>
    <col min="14603" max="14603" width="12.42578125" bestFit="1" customWidth="1"/>
    <col min="14604" max="14604" width="17.28515625" bestFit="1" customWidth="1"/>
    <col min="14605" max="14605" width="11.85546875" bestFit="1" customWidth="1"/>
    <col min="14848" max="14849" width="15.5703125" customWidth="1"/>
    <col min="14850" max="14850" width="34" customWidth="1"/>
    <col min="14851" max="14851" width="34.42578125" customWidth="1"/>
    <col min="14852" max="14852" width="12.140625" customWidth="1"/>
    <col min="14855" max="14855" width="20.140625" bestFit="1" customWidth="1"/>
    <col min="14856" max="14856" width="4.7109375" customWidth="1"/>
    <col min="14857" max="14857" width="13.85546875" customWidth="1"/>
    <col min="14858" max="14858" width="9.85546875" bestFit="1" customWidth="1"/>
    <col min="14859" max="14859" width="12.42578125" bestFit="1" customWidth="1"/>
    <col min="14860" max="14860" width="17.28515625" bestFit="1" customWidth="1"/>
    <col min="14861" max="14861" width="11.85546875" bestFit="1" customWidth="1"/>
    <col min="15104" max="15105" width="15.5703125" customWidth="1"/>
    <col min="15106" max="15106" width="34" customWidth="1"/>
    <col min="15107" max="15107" width="34.42578125" customWidth="1"/>
    <col min="15108" max="15108" width="12.140625" customWidth="1"/>
    <col min="15111" max="15111" width="20.140625" bestFit="1" customWidth="1"/>
    <col min="15112" max="15112" width="4.7109375" customWidth="1"/>
    <col min="15113" max="15113" width="13.85546875" customWidth="1"/>
    <col min="15114" max="15114" width="9.85546875" bestFit="1" customWidth="1"/>
    <col min="15115" max="15115" width="12.42578125" bestFit="1" customWidth="1"/>
    <col min="15116" max="15116" width="17.28515625" bestFit="1" customWidth="1"/>
    <col min="15117" max="15117" width="11.85546875" bestFit="1" customWidth="1"/>
    <col min="15360" max="15361" width="15.5703125" customWidth="1"/>
    <col min="15362" max="15362" width="34" customWidth="1"/>
    <col min="15363" max="15363" width="34.42578125" customWidth="1"/>
    <col min="15364" max="15364" width="12.140625" customWidth="1"/>
    <col min="15367" max="15367" width="20.140625" bestFit="1" customWidth="1"/>
    <col min="15368" max="15368" width="4.7109375" customWidth="1"/>
    <col min="15369" max="15369" width="13.85546875" customWidth="1"/>
    <col min="15370" max="15370" width="9.85546875" bestFit="1" customWidth="1"/>
    <col min="15371" max="15371" width="12.42578125" bestFit="1" customWidth="1"/>
    <col min="15372" max="15372" width="17.28515625" bestFit="1" customWidth="1"/>
    <col min="15373" max="15373" width="11.85546875" bestFit="1" customWidth="1"/>
    <col min="15616" max="15617" width="15.5703125" customWidth="1"/>
    <col min="15618" max="15618" width="34" customWidth="1"/>
    <col min="15619" max="15619" width="34.42578125" customWidth="1"/>
    <col min="15620" max="15620" width="12.140625" customWidth="1"/>
    <col min="15623" max="15623" width="20.140625" bestFit="1" customWidth="1"/>
    <col min="15624" max="15624" width="4.7109375" customWidth="1"/>
    <col min="15625" max="15625" width="13.85546875" customWidth="1"/>
    <col min="15626" max="15626" width="9.85546875" bestFit="1" customWidth="1"/>
    <col min="15627" max="15627" width="12.42578125" bestFit="1" customWidth="1"/>
    <col min="15628" max="15628" width="17.28515625" bestFit="1" customWidth="1"/>
    <col min="15629" max="15629" width="11.85546875" bestFit="1" customWidth="1"/>
    <col min="15872" max="15873" width="15.5703125" customWidth="1"/>
    <col min="15874" max="15874" width="34" customWidth="1"/>
    <col min="15875" max="15875" width="34.42578125" customWidth="1"/>
    <col min="15876" max="15876" width="12.140625" customWidth="1"/>
    <col min="15879" max="15879" width="20.140625" bestFit="1" customWidth="1"/>
    <col min="15880" max="15880" width="4.7109375" customWidth="1"/>
    <col min="15881" max="15881" width="13.85546875" customWidth="1"/>
    <col min="15882" max="15882" width="9.85546875" bestFit="1" customWidth="1"/>
    <col min="15883" max="15883" width="12.42578125" bestFit="1" customWidth="1"/>
    <col min="15884" max="15884" width="17.28515625" bestFit="1" customWidth="1"/>
    <col min="15885" max="15885" width="11.85546875" bestFit="1" customWidth="1"/>
    <col min="16128" max="16129" width="15.5703125" customWidth="1"/>
    <col min="16130" max="16130" width="34" customWidth="1"/>
    <col min="16131" max="16131" width="34.42578125" customWidth="1"/>
    <col min="16132" max="16132" width="12.140625" customWidth="1"/>
    <col min="16135" max="16135" width="20.140625" bestFit="1" customWidth="1"/>
    <col min="16136" max="16136" width="4.7109375" customWidth="1"/>
    <col min="16137" max="16137" width="13.85546875" customWidth="1"/>
    <col min="16138" max="16138" width="9.85546875" bestFit="1" customWidth="1"/>
    <col min="16139" max="16139" width="12.42578125" bestFit="1" customWidth="1"/>
    <col min="16140" max="16140" width="17.28515625" bestFit="1" customWidth="1"/>
    <col min="16141" max="16141" width="11.85546875" bestFit="1" customWidth="1"/>
  </cols>
  <sheetData>
    <row r="1" spans="1:13" ht="29.25" customHeight="1" thickBot="1" x14ac:dyDescent="0.25">
      <c r="A1" s="2714" t="s">
        <v>1156</v>
      </c>
      <c r="B1" s="2715"/>
      <c r="C1" s="2715"/>
      <c r="D1" s="2715"/>
      <c r="E1" s="2715"/>
      <c r="F1" s="2715"/>
      <c r="G1" s="2715"/>
      <c r="H1" s="2715"/>
      <c r="I1" s="2715"/>
      <c r="J1" s="2715"/>
      <c r="K1" s="2715"/>
      <c r="L1" s="2715"/>
      <c r="M1" s="2715"/>
    </row>
    <row r="2" spans="1:13" ht="13.5" thickBot="1" x14ac:dyDescent="0.25">
      <c r="A2" s="2540"/>
      <c r="B2" s="2540"/>
      <c r="C2" s="2540"/>
      <c r="D2" s="2541"/>
      <c r="E2" s="2541"/>
      <c r="F2" s="2541"/>
      <c r="G2" s="2542"/>
      <c r="H2" s="2542"/>
      <c r="I2" s="2623"/>
      <c r="J2" s="2541"/>
      <c r="K2" s="2541"/>
      <c r="L2" s="2542"/>
      <c r="M2" s="2542"/>
    </row>
    <row r="3" spans="1:13" ht="34.5" customHeight="1" x14ac:dyDescent="0.2">
      <c r="A3" s="2716" t="s">
        <v>1146</v>
      </c>
      <c r="B3" s="2543"/>
      <c r="C3" s="2543"/>
      <c r="D3" s="2718" t="s">
        <v>1108</v>
      </c>
      <c r="E3" s="2718"/>
      <c r="F3" s="2718"/>
      <c r="G3" s="2718"/>
      <c r="H3" s="2718"/>
      <c r="I3" s="2627" t="s">
        <v>1152</v>
      </c>
      <c r="J3" s="2719" t="s">
        <v>1147</v>
      </c>
      <c r="K3" s="2720"/>
      <c r="L3" s="2720"/>
      <c r="M3" s="2721"/>
    </row>
    <row r="4" spans="1:13" ht="24" x14ac:dyDescent="0.2">
      <c r="A4" s="2717"/>
      <c r="B4" s="2544"/>
      <c r="C4" s="2544"/>
      <c r="D4" s="2545"/>
      <c r="E4" s="2545" t="s">
        <v>438</v>
      </c>
      <c r="F4" s="2545" t="s">
        <v>1148</v>
      </c>
      <c r="G4" s="2546" t="s">
        <v>1149</v>
      </c>
      <c r="H4" s="2547" t="s">
        <v>1150</v>
      </c>
      <c r="I4" s="2624" t="s">
        <v>1153</v>
      </c>
      <c r="J4" s="2548" t="s">
        <v>438</v>
      </c>
      <c r="K4" s="2545" t="s">
        <v>1148</v>
      </c>
      <c r="L4" s="2546" t="s">
        <v>1149</v>
      </c>
      <c r="M4" s="2546" t="s">
        <v>1151</v>
      </c>
    </row>
    <row r="5" spans="1:13" ht="42.75" customHeight="1" thickBot="1" x14ac:dyDescent="0.25">
      <c r="A5" s="2549"/>
      <c r="B5" s="2770" t="s">
        <v>51</v>
      </c>
      <c r="C5" s="2771"/>
      <c r="D5" s="2771"/>
      <c r="E5" s="2767"/>
      <c r="F5" s="2550"/>
      <c r="G5" s="2550"/>
      <c r="H5" s="2551"/>
      <c r="I5" s="2625"/>
      <c r="J5" s="2552"/>
      <c r="K5" s="2550"/>
      <c r="L5" s="2550"/>
      <c r="M5" s="2553"/>
    </row>
    <row r="6" spans="1:13" ht="28.5" customHeight="1" x14ac:dyDescent="0.2">
      <c r="A6" s="2549"/>
      <c r="B6" s="2768" t="s">
        <v>53</v>
      </c>
      <c r="C6" s="2769"/>
      <c r="D6" s="2769"/>
      <c r="E6" s="2554"/>
      <c r="F6" s="2552"/>
      <c r="G6" s="2550"/>
      <c r="H6" s="2551"/>
      <c r="I6" s="2625"/>
      <c r="J6" s="2552"/>
      <c r="K6" s="2550"/>
      <c r="L6" s="2550"/>
      <c r="M6" s="2553"/>
    </row>
    <row r="7" spans="1:13" ht="63.75" x14ac:dyDescent="0.2">
      <c r="A7" s="2549"/>
      <c r="B7" s="2555"/>
      <c r="C7" s="2556" t="s">
        <v>54</v>
      </c>
      <c r="D7" s="2557" t="s">
        <v>648</v>
      </c>
      <c r="E7" s="2558" t="s">
        <v>991</v>
      </c>
      <c r="F7" s="2553">
        <v>2</v>
      </c>
      <c r="G7" s="2553">
        <v>2889.4583370151104</v>
      </c>
      <c r="H7" s="2551">
        <v>5778.9166740302207</v>
      </c>
      <c r="I7" s="2551">
        <f>+M7-H7</f>
        <v>-5072.0155518246893</v>
      </c>
      <c r="J7" s="2559" t="s">
        <v>991</v>
      </c>
      <c r="K7" s="2553">
        <v>2</v>
      </c>
      <c r="L7" s="2553">
        <v>353.45056110276579</v>
      </c>
      <c r="M7" s="2553">
        <v>706.90112220553158</v>
      </c>
    </row>
    <row r="8" spans="1:13" ht="59.25" customHeight="1" x14ac:dyDescent="0.2">
      <c r="A8" s="2549"/>
      <c r="B8" s="2560"/>
      <c r="C8" s="2561" t="s">
        <v>445</v>
      </c>
      <c r="D8" s="2562" t="s">
        <v>647</v>
      </c>
      <c r="E8" s="2558" t="s">
        <v>1000</v>
      </c>
      <c r="F8" s="2553">
        <v>0</v>
      </c>
      <c r="G8" s="2553">
        <v>0</v>
      </c>
      <c r="H8" s="2551">
        <v>0</v>
      </c>
      <c r="I8" s="2551">
        <f t="shared" ref="I8:I71" si="0">+M8-H8</f>
        <v>4418.1320137845723</v>
      </c>
      <c r="J8" s="2559" t="s">
        <v>1000</v>
      </c>
      <c r="K8" s="2553">
        <v>10</v>
      </c>
      <c r="L8" s="2553">
        <v>441.81320137845722</v>
      </c>
      <c r="M8" s="2553">
        <v>4418.1320137845723</v>
      </c>
    </row>
    <row r="9" spans="1:13" ht="25.5" x14ac:dyDescent="0.2">
      <c r="A9" s="2549"/>
      <c r="B9" s="2560"/>
      <c r="C9" s="2563" t="s">
        <v>57</v>
      </c>
      <c r="D9" s="2564" t="s">
        <v>763</v>
      </c>
      <c r="E9" s="2558" t="s">
        <v>991</v>
      </c>
      <c r="F9" s="2553">
        <v>0</v>
      </c>
      <c r="G9" s="2553">
        <v>0</v>
      </c>
      <c r="H9" s="2551">
        <v>0</v>
      </c>
      <c r="I9" s="2551">
        <f t="shared" si="0"/>
        <v>7334.09914288239</v>
      </c>
      <c r="J9" s="2559" t="s">
        <v>991</v>
      </c>
      <c r="K9" s="2553">
        <v>6</v>
      </c>
      <c r="L9" s="2553">
        <v>1222.349857147065</v>
      </c>
      <c r="M9" s="2553">
        <v>7334.09914288239</v>
      </c>
    </row>
    <row r="10" spans="1:13" ht="38.25" x14ac:dyDescent="0.2">
      <c r="A10" s="2549"/>
      <c r="B10" s="2560"/>
      <c r="C10" s="2563" t="s">
        <v>651</v>
      </c>
      <c r="D10" s="2564" t="s">
        <v>652</v>
      </c>
      <c r="E10" s="2558" t="s">
        <v>993</v>
      </c>
      <c r="F10" s="2553">
        <v>75</v>
      </c>
      <c r="G10" s="2553">
        <v>152.27828340844161</v>
      </c>
      <c r="H10" s="2551">
        <v>11420.871255633119</v>
      </c>
      <c r="I10" s="2551">
        <f t="shared" si="0"/>
        <v>57334.099142882391</v>
      </c>
      <c r="J10" s="2559" t="s">
        <v>993</v>
      </c>
      <c r="K10" s="2553">
        <v>240</v>
      </c>
      <c r="L10" s="2553">
        <v>286.47904332714796</v>
      </c>
      <c r="M10" s="2553">
        <v>68754.970398515507</v>
      </c>
    </row>
    <row r="11" spans="1:13" ht="38.25" x14ac:dyDescent="0.2">
      <c r="A11" s="2549"/>
      <c r="B11" s="2560"/>
      <c r="C11" s="2565" t="s">
        <v>60</v>
      </c>
      <c r="D11" s="2566" t="s">
        <v>582</v>
      </c>
      <c r="E11" s="2558" t="s">
        <v>992</v>
      </c>
      <c r="F11" s="2553">
        <v>3</v>
      </c>
      <c r="G11" s="2553">
        <v>3534.5056110276578</v>
      </c>
      <c r="H11" s="2551">
        <v>10603.516833082973</v>
      </c>
      <c r="I11" s="2551">
        <f t="shared" si="0"/>
        <v>17672.528055138289</v>
      </c>
      <c r="J11" s="2559" t="s">
        <v>992</v>
      </c>
      <c r="K11" s="2553">
        <v>2</v>
      </c>
      <c r="L11" s="2553">
        <v>14138.022444110631</v>
      </c>
      <c r="M11" s="2553">
        <v>28276.044888221262</v>
      </c>
    </row>
    <row r="12" spans="1:13" ht="25.5" x14ac:dyDescent="0.2">
      <c r="A12" s="2549"/>
      <c r="B12" s="2560"/>
      <c r="C12" s="2563" t="s">
        <v>62</v>
      </c>
      <c r="D12" s="2564" t="s">
        <v>753</v>
      </c>
      <c r="E12" s="2558" t="s">
        <v>994</v>
      </c>
      <c r="F12" s="2553">
        <v>6</v>
      </c>
      <c r="G12" s="2553">
        <v>22642.926570645934</v>
      </c>
      <c r="H12" s="2551">
        <v>135857.55942387559</v>
      </c>
      <c r="I12" s="2551">
        <f t="shared" si="0"/>
        <v>246029.54846690822</v>
      </c>
      <c r="J12" s="2559" t="s">
        <v>994</v>
      </c>
      <c r="K12" s="2553">
        <v>12</v>
      </c>
      <c r="L12" s="2553">
        <v>31823.925657565316</v>
      </c>
      <c r="M12" s="2553">
        <v>381887.10789078381</v>
      </c>
    </row>
    <row r="13" spans="1:13" ht="63.75" x14ac:dyDescent="0.2">
      <c r="A13" s="2549"/>
      <c r="B13" s="2560"/>
      <c r="C13" s="2561" t="s">
        <v>730</v>
      </c>
      <c r="D13" s="2562" t="s">
        <v>899</v>
      </c>
      <c r="E13" s="2558" t="s">
        <v>994</v>
      </c>
      <c r="F13" s="2553">
        <v>0</v>
      </c>
      <c r="G13" s="2553">
        <v>0</v>
      </c>
      <c r="H13" s="2551">
        <v>0</v>
      </c>
      <c r="I13" s="2551">
        <f t="shared" si="0"/>
        <v>76905.098524343906</v>
      </c>
      <c r="J13" s="2559" t="s">
        <v>994</v>
      </c>
      <c r="K13" s="2553">
        <v>3</v>
      </c>
      <c r="L13" s="2553">
        <v>21855.026361521017</v>
      </c>
      <c r="M13" s="2553">
        <v>76905.098524343906</v>
      </c>
    </row>
    <row r="14" spans="1:13" ht="25.5" x14ac:dyDescent="0.2">
      <c r="B14" s="2560"/>
      <c r="C14" s="2567" t="s">
        <v>65</v>
      </c>
      <c r="D14" s="2568" t="s">
        <v>66</v>
      </c>
      <c r="E14" s="2558"/>
      <c r="F14" s="2553">
        <v>40</v>
      </c>
      <c r="G14" s="2553">
        <v>389.23743041442083</v>
      </c>
      <c r="H14" s="2551">
        <v>15569.497216576832</v>
      </c>
      <c r="I14" s="2551">
        <f t="shared" si="0"/>
        <v>-15569.497216576832</v>
      </c>
      <c r="J14" s="2559"/>
      <c r="K14" s="2553"/>
      <c r="L14" s="2553"/>
      <c r="M14" s="2553">
        <v>0</v>
      </c>
    </row>
    <row r="15" spans="1:13" ht="25.5" x14ac:dyDescent="0.2">
      <c r="B15" s="2560"/>
      <c r="C15" s="2567" t="s">
        <v>972</v>
      </c>
      <c r="D15" s="2568" t="s">
        <v>752</v>
      </c>
      <c r="E15" s="2558" t="s">
        <v>993</v>
      </c>
      <c r="F15" s="2553"/>
      <c r="G15" s="2553">
        <v>0</v>
      </c>
      <c r="H15" s="2551">
        <v>0</v>
      </c>
      <c r="I15" s="2551">
        <f t="shared" si="0"/>
        <v>2597.8616241053282</v>
      </c>
      <c r="J15" s="2559" t="s">
        <v>993</v>
      </c>
      <c r="K15" s="2553">
        <v>42</v>
      </c>
      <c r="L15" s="2553">
        <v>61.85384819298401</v>
      </c>
      <c r="M15" s="2553">
        <v>2597.8616241053282</v>
      </c>
    </row>
    <row r="16" spans="1:13" ht="38.25" x14ac:dyDescent="0.2">
      <c r="B16" s="2560"/>
      <c r="C16" s="2561" t="s">
        <v>68</v>
      </c>
      <c r="D16" s="2562" t="s">
        <v>69</v>
      </c>
      <c r="E16" s="2558" t="s">
        <v>993</v>
      </c>
      <c r="F16" s="2553">
        <v>15</v>
      </c>
      <c r="G16" s="2553">
        <v>793.79105180996146</v>
      </c>
      <c r="H16" s="2551">
        <v>11906.865777149422</v>
      </c>
      <c r="I16" s="2551">
        <f t="shared" si="0"/>
        <v>-2575.7709640364046</v>
      </c>
      <c r="J16" s="2559" t="s">
        <v>993</v>
      </c>
      <c r="K16" s="2553">
        <v>15</v>
      </c>
      <c r="L16" s="2553">
        <v>622.07298754086776</v>
      </c>
      <c r="M16" s="2553">
        <v>9331.0948131130172</v>
      </c>
    </row>
    <row r="17" spans="2:13" ht="13.5" thickBot="1" x14ac:dyDescent="0.25">
      <c r="B17" s="2560"/>
      <c r="C17" s="2569"/>
      <c r="D17" s="2570"/>
      <c r="E17" s="2558"/>
      <c r="F17" s="2553"/>
      <c r="G17" s="2553"/>
      <c r="H17" s="2551"/>
      <c r="I17" s="2551"/>
      <c r="J17" s="2559"/>
      <c r="K17" s="2553"/>
      <c r="L17" s="2553"/>
      <c r="M17" s="2553"/>
    </row>
    <row r="18" spans="2:13" s="2571" customFormat="1" ht="25.5" customHeight="1" thickBot="1" x14ac:dyDescent="0.3">
      <c r="B18" s="2572" t="s">
        <v>45</v>
      </c>
      <c r="C18" s="2573"/>
      <c r="D18" s="2574"/>
      <c r="E18" s="2574"/>
      <c r="F18" s="2574"/>
      <c r="G18" s="2574"/>
      <c r="H18" s="2575">
        <f>SUM(H7:H17)</f>
        <v>191137.22718034816</v>
      </c>
      <c r="I18" s="2575">
        <f>SUM(I7:I17)</f>
        <v>389074.08323760715</v>
      </c>
      <c r="J18" s="2576"/>
      <c r="K18" s="2577"/>
      <c r="L18" s="2577"/>
      <c r="M18" s="2574">
        <f>SUM(M7:M16)</f>
        <v>580211.31041795528</v>
      </c>
    </row>
    <row r="19" spans="2:13" ht="13.5" thickBot="1" x14ac:dyDescent="0.25">
      <c r="B19" s="2578"/>
      <c r="C19" s="2578"/>
      <c r="D19" s="2578"/>
      <c r="E19" s="2579"/>
      <c r="F19" s="2553"/>
      <c r="G19" s="2553"/>
      <c r="I19" s="2549"/>
      <c r="J19" s="2580"/>
      <c r="K19" s="2581"/>
      <c r="L19" s="2581"/>
    </row>
    <row r="20" spans="2:13" ht="25.5" customHeight="1" x14ac:dyDescent="0.2">
      <c r="B20" s="2768" t="s">
        <v>72</v>
      </c>
      <c r="C20" s="2769"/>
      <c r="D20" s="2769"/>
      <c r="E20" s="2554"/>
      <c r="F20" s="2552"/>
      <c r="G20" s="2582"/>
      <c r="H20" s="2583"/>
      <c r="I20" s="2583"/>
      <c r="J20" s="2584"/>
      <c r="K20" s="2585"/>
      <c r="L20" s="2585"/>
      <c r="M20" s="2585"/>
    </row>
    <row r="21" spans="2:13" ht="25.5" x14ac:dyDescent="0.2">
      <c r="B21" s="2586"/>
      <c r="C21" s="2563" t="s">
        <v>73</v>
      </c>
      <c r="D21" s="2562" t="s">
        <v>974</v>
      </c>
      <c r="E21" s="2558" t="s">
        <v>996</v>
      </c>
      <c r="F21" s="2553">
        <v>8</v>
      </c>
      <c r="G21" s="2553">
        <v>3269.4176902005834</v>
      </c>
      <c r="H21" s="2551">
        <v>26155.341521604667</v>
      </c>
      <c r="I21" s="2551">
        <f t="shared" si="0"/>
        <v>27194.486171246801</v>
      </c>
      <c r="J21" s="2580" t="s">
        <v>996</v>
      </c>
      <c r="K21" s="2553">
        <v>6</v>
      </c>
      <c r="L21" s="2553">
        <v>8891.6379488085768</v>
      </c>
      <c r="M21" s="2553">
        <v>53349.827692851468</v>
      </c>
    </row>
    <row r="22" spans="2:13" ht="25.5" x14ac:dyDescent="0.2">
      <c r="B22" s="2586"/>
      <c r="C22" s="2563" t="s">
        <v>75</v>
      </c>
      <c r="D22" s="2564" t="s">
        <v>973</v>
      </c>
      <c r="E22" s="2558" t="s">
        <v>997</v>
      </c>
      <c r="F22" s="2553">
        <v>4000</v>
      </c>
      <c r="G22" s="2553">
        <v>7.0690112220553152</v>
      </c>
      <c r="H22" s="2551">
        <v>28276.044888221262</v>
      </c>
      <c r="I22" s="2551">
        <f t="shared" si="0"/>
        <v>-9481.3113015816962</v>
      </c>
      <c r="J22" s="2559" t="s">
        <v>997</v>
      </c>
      <c r="K22" s="2553">
        <v>2500</v>
      </c>
      <c r="L22" s="2553">
        <v>7.5178934346558268</v>
      </c>
      <c r="M22" s="2553">
        <v>18794.733586639566</v>
      </c>
    </row>
    <row r="23" spans="2:13" ht="25.5" x14ac:dyDescent="0.2">
      <c r="B23" s="2586"/>
      <c r="C23" s="2563" t="s">
        <v>76</v>
      </c>
      <c r="D23" s="2564" t="s">
        <v>975</v>
      </c>
      <c r="E23" s="2558"/>
      <c r="F23" s="2553">
        <v>8</v>
      </c>
      <c r="G23" s="2553">
        <v>3269.4176902005834</v>
      </c>
      <c r="H23" s="2551">
        <v>26155.341521604667</v>
      </c>
      <c r="I23" s="2551">
        <f t="shared" si="0"/>
        <v>-26155.341521604667</v>
      </c>
      <c r="J23" s="2559"/>
      <c r="K23" s="2553">
        <v>0</v>
      </c>
      <c r="L23" s="2553">
        <v>0</v>
      </c>
      <c r="M23" s="2553">
        <v>0</v>
      </c>
    </row>
    <row r="24" spans="2:13" ht="25.5" x14ac:dyDescent="0.2">
      <c r="B24" s="2586"/>
      <c r="C24" s="2563" t="s">
        <v>78</v>
      </c>
      <c r="D24" s="2564" t="s">
        <v>976</v>
      </c>
      <c r="E24" s="2558"/>
      <c r="F24" s="2553">
        <v>4000</v>
      </c>
      <c r="G24" s="2553">
        <v>6.1853848192984007</v>
      </c>
      <c r="H24" s="2551">
        <v>24741.539277193606</v>
      </c>
      <c r="I24" s="2551">
        <f t="shared" si="0"/>
        <v>-24741.539277193606</v>
      </c>
      <c r="J24" s="2559"/>
      <c r="K24" s="2553">
        <v>0</v>
      </c>
      <c r="L24" s="2553">
        <v>0</v>
      </c>
      <c r="M24" s="2553">
        <v>0</v>
      </c>
    </row>
    <row r="25" spans="2:13" ht="22.5" customHeight="1" x14ac:dyDescent="0.2">
      <c r="B25" s="2586"/>
      <c r="C25" s="2563" t="s">
        <v>80</v>
      </c>
      <c r="D25" s="2564" t="s">
        <v>81</v>
      </c>
      <c r="E25" s="2558"/>
      <c r="F25" s="2553"/>
      <c r="G25" s="2553">
        <v>0</v>
      </c>
      <c r="H25" s="2551">
        <v>0</v>
      </c>
      <c r="I25" s="2551">
        <f t="shared" si="0"/>
        <v>0</v>
      </c>
      <c r="J25" s="2559"/>
      <c r="K25" s="2553">
        <v>0</v>
      </c>
      <c r="L25" s="2553">
        <v>0</v>
      </c>
      <c r="M25" s="2553">
        <v>0</v>
      </c>
    </row>
    <row r="26" spans="2:13" ht="25.5" x14ac:dyDescent="0.2">
      <c r="B26" s="2586"/>
      <c r="C26" s="2563" t="s">
        <v>451</v>
      </c>
      <c r="D26" s="2564" t="s">
        <v>751</v>
      </c>
      <c r="E26" s="2558" t="s">
        <v>997</v>
      </c>
      <c r="F26" s="2553">
        <v>2000</v>
      </c>
      <c r="G26" s="2553">
        <v>4.4181320137845725</v>
      </c>
      <c r="H26" s="2551">
        <v>8836.2640275691447</v>
      </c>
      <c r="I26" s="2551">
        <f t="shared" si="0"/>
        <v>15872.581072722449</v>
      </c>
      <c r="J26" s="2559" t="s">
        <v>997</v>
      </c>
      <c r="K26" s="2553">
        <v>13000</v>
      </c>
      <c r="L26" s="2553">
        <v>1.9006803923301228</v>
      </c>
      <c r="M26" s="2553">
        <v>24708.845100291594</v>
      </c>
    </row>
    <row r="27" spans="2:13" ht="25.5" x14ac:dyDescent="0.2">
      <c r="B27" s="2586" t="s">
        <v>155</v>
      </c>
      <c r="C27" s="2563" t="s">
        <v>452</v>
      </c>
      <c r="D27" s="2564" t="s">
        <v>750</v>
      </c>
      <c r="E27" s="2558" t="s">
        <v>997</v>
      </c>
      <c r="F27" s="2553">
        <v>0</v>
      </c>
      <c r="G27" s="2553">
        <v>0</v>
      </c>
      <c r="H27" s="2551">
        <v>0</v>
      </c>
      <c r="I27" s="2551">
        <f t="shared" si="0"/>
        <v>21030.308385614564</v>
      </c>
      <c r="J27" s="2559" t="s">
        <v>997</v>
      </c>
      <c r="K27" s="2553">
        <v>2000</v>
      </c>
      <c r="L27" s="2553">
        <v>10.515154192807282</v>
      </c>
      <c r="M27" s="2553">
        <v>21030.308385614564</v>
      </c>
    </row>
    <row r="28" spans="2:13" ht="25.5" x14ac:dyDescent="0.2">
      <c r="B28" s="2586"/>
      <c r="C28" s="2587" t="s">
        <v>453</v>
      </c>
      <c r="D28" s="2562" t="s">
        <v>749</v>
      </c>
      <c r="E28" s="2558" t="s">
        <v>997</v>
      </c>
      <c r="F28" s="2553">
        <v>0</v>
      </c>
      <c r="G28" s="2553">
        <v>0</v>
      </c>
      <c r="H28" s="2551">
        <v>0</v>
      </c>
      <c r="I28" s="2551">
        <f t="shared" si="0"/>
        <v>46293.629053636127</v>
      </c>
      <c r="J28" s="2559" t="s">
        <v>997</v>
      </c>
      <c r="K28" s="2553">
        <v>3</v>
      </c>
      <c r="L28" s="2553">
        <v>15431.209684545374</v>
      </c>
      <c r="M28" s="2553">
        <v>46293.629053636127</v>
      </c>
    </row>
    <row r="29" spans="2:13" ht="51" x14ac:dyDescent="0.2">
      <c r="B29" s="2586"/>
      <c r="C29" s="2587" t="s">
        <v>453</v>
      </c>
      <c r="D29" s="2562" t="s">
        <v>654</v>
      </c>
      <c r="E29" s="2558" t="s">
        <v>997</v>
      </c>
      <c r="F29" s="2553">
        <v>0</v>
      </c>
      <c r="G29" s="2553">
        <v>0</v>
      </c>
      <c r="H29" s="2551">
        <v>0</v>
      </c>
      <c r="I29" s="2551">
        <f t="shared" si="0"/>
        <v>48246.001590527529</v>
      </c>
      <c r="J29" s="2559" t="s">
        <v>997</v>
      </c>
      <c r="K29" s="2553">
        <v>26</v>
      </c>
      <c r="L29" s="2553">
        <v>1855.6154457895202</v>
      </c>
      <c r="M29" s="2553">
        <v>48246.001590527529</v>
      </c>
    </row>
    <row r="30" spans="2:13" ht="38.25" x14ac:dyDescent="0.2">
      <c r="B30" s="2586"/>
      <c r="C30" s="2587" t="s">
        <v>455</v>
      </c>
      <c r="D30" s="2562" t="s">
        <v>456</v>
      </c>
      <c r="E30" s="2558" t="s">
        <v>1015</v>
      </c>
      <c r="F30" s="2553">
        <v>0</v>
      </c>
      <c r="G30" s="2553">
        <v>0</v>
      </c>
      <c r="H30" s="2551">
        <v>0</v>
      </c>
      <c r="I30" s="2551">
        <f t="shared" si="0"/>
        <v>7133.5159494565705</v>
      </c>
      <c r="J30" s="2559" t="s">
        <v>1015</v>
      </c>
      <c r="K30" s="2553">
        <v>5</v>
      </c>
      <c r="L30" s="2553">
        <v>1426.703189891314</v>
      </c>
      <c r="M30" s="2553">
        <v>7133.5159494565705</v>
      </c>
    </row>
    <row r="31" spans="2:13" ht="25.5" x14ac:dyDescent="0.2">
      <c r="B31" s="2586"/>
      <c r="C31" s="2587" t="s">
        <v>457</v>
      </c>
      <c r="D31" s="2562" t="s">
        <v>458</v>
      </c>
      <c r="E31" s="2558" t="s">
        <v>1015</v>
      </c>
      <c r="F31" s="2553">
        <v>0</v>
      </c>
      <c r="G31" s="2553">
        <v>0</v>
      </c>
      <c r="H31" s="2551">
        <v>0</v>
      </c>
      <c r="I31" s="2551">
        <f t="shared" si="0"/>
        <v>6491.561367853672</v>
      </c>
      <c r="J31" s="2559" t="s">
        <v>1015</v>
      </c>
      <c r="K31" s="2553">
        <v>5</v>
      </c>
      <c r="L31" s="2553">
        <v>1298.3122735707343</v>
      </c>
      <c r="M31" s="2553">
        <v>6491.561367853672</v>
      </c>
    </row>
    <row r="32" spans="2:13" ht="13.5" thickBot="1" x14ac:dyDescent="0.25">
      <c r="B32" s="2586"/>
      <c r="C32" s="2588"/>
      <c r="D32" s="2589"/>
      <c r="E32" s="2558"/>
      <c r="F32" s="2553"/>
      <c r="G32" s="2553"/>
      <c r="H32" s="2551"/>
      <c r="I32" s="2551"/>
      <c r="J32" s="2559"/>
      <c r="K32" s="2553"/>
      <c r="L32" s="2553"/>
      <c r="M32" s="2553"/>
    </row>
    <row r="33" spans="1:13" s="2571" customFormat="1" ht="25.5" customHeight="1" thickBot="1" x14ac:dyDescent="0.3">
      <c r="B33" s="2590" t="s">
        <v>45</v>
      </c>
      <c r="C33" s="2573"/>
      <c r="D33" s="2574"/>
      <c r="E33" s="2574"/>
      <c r="F33" s="2574"/>
      <c r="G33" s="2574"/>
      <c r="H33" s="2575">
        <f>SUM(H21:H32)</f>
        <v>114164.53123619335</v>
      </c>
      <c r="I33" s="2575">
        <f>SUM(I21:I32)</f>
        <v>111883.89149067775</v>
      </c>
      <c r="J33" s="2591"/>
      <c r="K33" s="2574"/>
      <c r="L33" s="2574">
        <v>28923.412270625315</v>
      </c>
      <c r="M33" s="2574">
        <f>SUM(M21:M31)</f>
        <v>226048.4227268711</v>
      </c>
    </row>
    <row r="34" spans="1:13" x14ac:dyDescent="0.2">
      <c r="B34" s="2592"/>
      <c r="C34" s="2593"/>
      <c r="D34" s="2563"/>
      <c r="E34" s="2558"/>
      <c r="F34" s="2551"/>
      <c r="G34" s="2594"/>
      <c r="H34" s="2595"/>
      <c r="I34" s="2595"/>
      <c r="J34" s="2596"/>
      <c r="K34" s="2594"/>
      <c r="L34" s="2594"/>
      <c r="M34" s="2597"/>
    </row>
    <row r="35" spans="1:13" ht="42.75" customHeight="1" x14ac:dyDescent="0.2">
      <c r="A35" s="2549"/>
      <c r="B35" s="2779" t="s">
        <v>82</v>
      </c>
      <c r="C35" s="2780"/>
      <c r="D35" s="2780"/>
      <c r="E35" s="2780"/>
      <c r="F35" s="2781"/>
      <c r="G35" s="2585"/>
      <c r="H35" s="2598"/>
      <c r="I35" s="2598"/>
      <c r="J35" s="2584"/>
      <c r="K35" s="2585"/>
      <c r="L35" s="2585"/>
      <c r="M35" s="2599"/>
    </row>
    <row r="36" spans="1:13" ht="28.5" customHeight="1" x14ac:dyDescent="0.2">
      <c r="A36" s="2549"/>
      <c r="B36" s="2776" t="s">
        <v>83</v>
      </c>
      <c r="C36" s="2777"/>
      <c r="D36" s="2777"/>
      <c r="E36" s="2777"/>
      <c r="F36" s="2777"/>
      <c r="G36" s="2778"/>
      <c r="H36" s="2551"/>
      <c r="I36" s="2551"/>
      <c r="J36" s="2552"/>
      <c r="K36" s="2550"/>
      <c r="L36" s="2550"/>
      <c r="M36" s="2553"/>
    </row>
    <row r="37" spans="1:13" ht="51" x14ac:dyDescent="0.2">
      <c r="B37" s="2555"/>
      <c r="C37" s="2600" t="s">
        <v>85</v>
      </c>
      <c r="D37" s="2601" t="s">
        <v>587</v>
      </c>
      <c r="E37" s="2558" t="s">
        <v>993</v>
      </c>
      <c r="F37" s="2553">
        <v>30</v>
      </c>
      <c r="G37" s="2553">
        <v>502.78342316868429</v>
      </c>
      <c r="H37" s="2551">
        <v>15083.50269506053</v>
      </c>
      <c r="I37" s="2551">
        <f t="shared" si="0"/>
        <v>1645.3123619333728</v>
      </c>
      <c r="J37" s="2559" t="s">
        <v>993</v>
      </c>
      <c r="K37" s="2553">
        <v>1</v>
      </c>
      <c r="L37" s="2553">
        <v>16728.815056993903</v>
      </c>
      <c r="M37" s="2553">
        <v>16728.815056993903</v>
      </c>
    </row>
    <row r="38" spans="1:13" ht="51" x14ac:dyDescent="0.2">
      <c r="B38" s="2602"/>
      <c r="C38" s="2603" t="s">
        <v>87</v>
      </c>
      <c r="D38" s="2604" t="s">
        <v>886</v>
      </c>
      <c r="E38" s="2558" t="s">
        <v>994</v>
      </c>
      <c r="F38" s="2553">
        <v>2</v>
      </c>
      <c r="G38" s="2553">
        <v>33964.389855968897</v>
      </c>
      <c r="H38" s="2551">
        <v>67928.779711937794</v>
      </c>
      <c r="I38" s="2551">
        <f t="shared" si="0"/>
        <v>229782.6279049218</v>
      </c>
      <c r="J38" s="2559" t="s">
        <v>994</v>
      </c>
      <c r="K38" s="2553">
        <v>14</v>
      </c>
      <c r="L38" s="2553">
        <v>21265.100544061403</v>
      </c>
      <c r="M38" s="2553">
        <v>297711.40761685959</v>
      </c>
    </row>
    <row r="39" spans="1:13" ht="51" x14ac:dyDescent="0.2">
      <c r="B39" s="2586"/>
      <c r="C39" s="2563" t="s">
        <v>89</v>
      </c>
      <c r="D39" s="2564" t="s">
        <v>870</v>
      </c>
      <c r="E39" s="2558" t="s">
        <v>1035</v>
      </c>
      <c r="F39" s="2553">
        <v>2800</v>
      </c>
      <c r="G39" s="2553">
        <v>6.1853848192984007</v>
      </c>
      <c r="H39" s="2551">
        <v>17319.077494035522</v>
      </c>
      <c r="I39" s="2551">
        <f t="shared" si="0"/>
        <v>-12116.28523460281</v>
      </c>
      <c r="J39" s="2559" t="s">
        <v>1035</v>
      </c>
      <c r="K39" s="2553">
        <v>400</v>
      </c>
      <c r="L39" s="2553">
        <v>13.006980648581781</v>
      </c>
      <c r="M39" s="2553">
        <v>5202.7922594327119</v>
      </c>
    </row>
    <row r="40" spans="1:13" ht="38.25" x14ac:dyDescent="0.2">
      <c r="B40" s="2586"/>
      <c r="C40" s="2567" t="s">
        <v>91</v>
      </c>
      <c r="D40" s="2562" t="s">
        <v>901</v>
      </c>
      <c r="E40" s="2558" t="s">
        <v>1000</v>
      </c>
      <c r="F40" s="2553">
        <v>3</v>
      </c>
      <c r="G40" s="2553">
        <v>2120.7033666165948</v>
      </c>
      <c r="H40" s="2551">
        <v>6362.1100998497841</v>
      </c>
      <c r="I40" s="2551">
        <f t="shared" si="0"/>
        <v>-5785.9856852522762</v>
      </c>
      <c r="J40" s="2559" t="s">
        <v>1000</v>
      </c>
      <c r="K40" s="2553">
        <v>1</v>
      </c>
      <c r="L40" s="2553">
        <v>576.12441459750823</v>
      </c>
      <c r="M40" s="2553">
        <v>576.12441459750823</v>
      </c>
    </row>
    <row r="41" spans="1:13" ht="38.25" x14ac:dyDescent="0.2">
      <c r="B41" s="2586"/>
      <c r="C41" s="2567" t="s">
        <v>462</v>
      </c>
      <c r="D41" s="2562" t="s">
        <v>655</v>
      </c>
      <c r="E41" s="2558" t="s">
        <v>1036</v>
      </c>
      <c r="F41" s="2553">
        <v>0</v>
      </c>
      <c r="G41" s="2553">
        <v>0</v>
      </c>
      <c r="H41" s="2551">
        <v>0</v>
      </c>
      <c r="I41" s="2551">
        <f t="shared" si="0"/>
        <v>55668.463373685612</v>
      </c>
      <c r="J41" s="2559" t="s">
        <v>1036</v>
      </c>
      <c r="K41" s="2553">
        <v>60</v>
      </c>
      <c r="L41" s="2553">
        <v>927.8077228947601</v>
      </c>
      <c r="M41" s="2553">
        <v>55668.463373685612</v>
      </c>
    </row>
    <row r="42" spans="1:13" ht="38.25" x14ac:dyDescent="0.2">
      <c r="B42" s="2586"/>
      <c r="C42" s="2567" t="s">
        <v>977</v>
      </c>
      <c r="D42" s="2562" t="s">
        <v>463</v>
      </c>
      <c r="E42" s="2558"/>
      <c r="F42" s="2553">
        <v>0</v>
      </c>
      <c r="G42" s="2553">
        <v>0</v>
      </c>
      <c r="H42" s="2551">
        <v>0</v>
      </c>
      <c r="I42" s="2551">
        <f t="shared" si="0"/>
        <v>0</v>
      </c>
      <c r="J42" s="2559"/>
      <c r="K42" s="2553">
        <v>0</v>
      </c>
      <c r="L42" s="2553">
        <v>0</v>
      </c>
      <c r="M42" s="2553">
        <v>0</v>
      </c>
    </row>
    <row r="43" spans="1:13" ht="38.25" x14ac:dyDescent="0.2">
      <c r="B43" s="2586"/>
      <c r="C43" s="2567" t="s">
        <v>93</v>
      </c>
      <c r="D43" s="2562" t="s">
        <v>788</v>
      </c>
      <c r="E43" s="2558" t="s">
        <v>993</v>
      </c>
      <c r="F43" s="2553">
        <v>76</v>
      </c>
      <c r="G43" s="2553">
        <v>629.43847867437444</v>
      </c>
      <c r="H43" s="2551">
        <v>47837.324379252452</v>
      </c>
      <c r="I43" s="2551">
        <f t="shared" si="0"/>
        <v>-32251.921887425997</v>
      </c>
      <c r="J43" s="2559" t="s">
        <v>993</v>
      </c>
      <c r="K43" s="2553">
        <v>250</v>
      </c>
      <c r="L43" s="2553">
        <v>62.341609967305835</v>
      </c>
      <c r="M43" s="2553">
        <v>15585.402491826457</v>
      </c>
    </row>
    <row r="44" spans="1:13" ht="51" x14ac:dyDescent="0.2">
      <c r="B44" s="2586"/>
      <c r="C44" s="2567" t="s">
        <v>464</v>
      </c>
      <c r="D44" s="2562" t="s">
        <v>465</v>
      </c>
      <c r="E44" s="2558" t="s">
        <v>993</v>
      </c>
      <c r="F44" s="2553">
        <v>0</v>
      </c>
      <c r="G44" s="2553">
        <v>0</v>
      </c>
      <c r="H44" s="2551">
        <v>0</v>
      </c>
      <c r="I44" s="2551">
        <f t="shared" si="0"/>
        <v>63903.861447380055</v>
      </c>
      <c r="J44" s="2559" t="s">
        <v>993</v>
      </c>
      <c r="K44" s="2553">
        <v>55</v>
      </c>
      <c r="L44" s="2553">
        <v>1161.8883899523646</v>
      </c>
      <c r="M44" s="2553">
        <v>63903.861447380055</v>
      </c>
    </row>
    <row r="45" spans="1:13" ht="38.25" x14ac:dyDescent="0.2">
      <c r="B45" s="2586"/>
      <c r="C45" s="2567" t="s">
        <v>94</v>
      </c>
      <c r="D45" s="2562" t="s">
        <v>332</v>
      </c>
      <c r="E45" s="2558" t="s">
        <v>993</v>
      </c>
      <c r="F45" s="2553">
        <v>500</v>
      </c>
      <c r="G45" s="2553">
        <v>53.901210568171777</v>
      </c>
      <c r="H45" s="2551">
        <v>26950.60528408589</v>
      </c>
      <c r="I45" s="2551">
        <f t="shared" si="0"/>
        <v>-8479.2789608553503</v>
      </c>
      <c r="J45" s="2559" t="s">
        <v>993</v>
      </c>
      <c r="K45" s="2553">
        <v>250</v>
      </c>
      <c r="L45" s="2553">
        <v>73.885305292922155</v>
      </c>
      <c r="M45" s="2553">
        <v>18471.32632323054</v>
      </c>
    </row>
    <row r="46" spans="1:13" ht="51" x14ac:dyDescent="0.2">
      <c r="B46" s="2586"/>
      <c r="C46" s="2605" t="s">
        <v>1026</v>
      </c>
      <c r="D46" s="2589" t="s">
        <v>593</v>
      </c>
      <c r="E46" s="2558" t="s">
        <v>992</v>
      </c>
      <c r="F46" s="2553">
        <v>3</v>
      </c>
      <c r="G46" s="2553">
        <v>2120.7033666165948</v>
      </c>
      <c r="H46" s="2551">
        <v>6362.1100998497841</v>
      </c>
      <c r="I46" s="2551">
        <f t="shared" si="0"/>
        <v>11964.301493328619</v>
      </c>
      <c r="J46" s="2559" t="s">
        <v>992</v>
      </c>
      <c r="K46" s="2553">
        <v>19</v>
      </c>
      <c r="L46" s="2553">
        <v>964.54797858833706</v>
      </c>
      <c r="M46" s="2553">
        <v>18326.411593178404</v>
      </c>
    </row>
    <row r="47" spans="1:13" ht="25.5" x14ac:dyDescent="0.2">
      <c r="B47" s="2586"/>
      <c r="C47" s="2567" t="s">
        <v>1027</v>
      </c>
      <c r="D47" s="2562" t="s">
        <v>656</v>
      </c>
      <c r="E47" s="2558"/>
      <c r="F47" s="2553">
        <v>0</v>
      </c>
      <c r="G47" s="2553">
        <v>0</v>
      </c>
      <c r="H47" s="2551">
        <v>0</v>
      </c>
      <c r="I47" s="2551">
        <f t="shared" si="0"/>
        <v>0</v>
      </c>
      <c r="J47" s="2559"/>
      <c r="K47" s="2553">
        <v>0</v>
      </c>
      <c r="L47" s="2553">
        <v>0</v>
      </c>
      <c r="M47" s="2553">
        <v>0</v>
      </c>
    </row>
    <row r="48" spans="1:13" ht="25.5" x14ac:dyDescent="0.2">
      <c r="B48" s="2586"/>
      <c r="C48" s="2567" t="s">
        <v>660</v>
      </c>
      <c r="D48" s="2562" t="s">
        <v>658</v>
      </c>
      <c r="E48" s="2558" t="s">
        <v>1037</v>
      </c>
      <c r="F48" s="2553">
        <v>0</v>
      </c>
      <c r="G48" s="2553">
        <v>0</v>
      </c>
      <c r="H48" s="2551">
        <v>0</v>
      </c>
      <c r="I48" s="2551">
        <f t="shared" si="0"/>
        <v>4418.1320137845723</v>
      </c>
      <c r="J48" s="2559" t="s">
        <v>1037</v>
      </c>
      <c r="K48" s="2553">
        <v>10</v>
      </c>
      <c r="L48" s="2553">
        <v>441.81320137845722</v>
      </c>
      <c r="M48" s="2553">
        <v>4418.1320137845723</v>
      </c>
    </row>
    <row r="49" spans="1:13" ht="63.75" x14ac:dyDescent="0.2">
      <c r="B49" s="2586"/>
      <c r="C49" s="2567" t="s">
        <v>663</v>
      </c>
      <c r="D49" s="2562" t="s">
        <v>661</v>
      </c>
      <c r="E49" s="2558" t="s">
        <v>1038</v>
      </c>
      <c r="F49" s="2553">
        <v>0</v>
      </c>
      <c r="G49" s="2553">
        <v>0</v>
      </c>
      <c r="H49" s="2551">
        <v>0</v>
      </c>
      <c r="I49" s="2551">
        <f t="shared" si="0"/>
        <v>3534.5056110276578</v>
      </c>
      <c r="J49" s="2559" t="s">
        <v>1038</v>
      </c>
      <c r="K49" s="2553">
        <v>400</v>
      </c>
      <c r="L49" s="2553">
        <v>8.8362640275691451</v>
      </c>
      <c r="M49" s="2553">
        <v>3534.5056110276578</v>
      </c>
    </row>
    <row r="50" spans="1:13" ht="25.5" x14ac:dyDescent="0.2">
      <c r="B50" s="2586"/>
      <c r="C50" s="2567" t="s">
        <v>666</v>
      </c>
      <c r="D50" s="2562" t="s">
        <v>664</v>
      </c>
      <c r="E50" s="2558"/>
      <c r="F50" s="2553">
        <v>0</v>
      </c>
      <c r="G50" s="2553">
        <v>0</v>
      </c>
      <c r="H50" s="2551">
        <v>0</v>
      </c>
      <c r="I50" s="2551">
        <f t="shared" si="0"/>
        <v>0</v>
      </c>
      <c r="J50" s="2559"/>
      <c r="K50" s="2553">
        <v>0</v>
      </c>
      <c r="L50" s="2553">
        <v>0</v>
      </c>
      <c r="M50" s="2553">
        <v>0</v>
      </c>
    </row>
    <row r="51" spans="1:13" x14ac:dyDescent="0.2">
      <c r="B51" s="2586"/>
      <c r="C51" s="2567" t="s">
        <v>1028</v>
      </c>
      <c r="D51" s="2562" t="s">
        <v>667</v>
      </c>
      <c r="E51" s="2558"/>
      <c r="F51" s="2553">
        <v>0</v>
      </c>
      <c r="G51" s="2553">
        <v>0</v>
      </c>
      <c r="H51" s="2551">
        <v>0</v>
      </c>
      <c r="I51" s="2551">
        <f t="shared" si="0"/>
        <v>0</v>
      </c>
      <c r="J51" s="2559"/>
      <c r="K51" s="2553">
        <v>0</v>
      </c>
      <c r="L51" s="2553">
        <v>0</v>
      </c>
      <c r="M51" s="2553">
        <v>0</v>
      </c>
    </row>
    <row r="52" spans="1:13" ht="13.5" thickBot="1" x14ac:dyDescent="0.25">
      <c r="B52" s="2586"/>
      <c r="C52" s="2606"/>
      <c r="D52" s="2570"/>
      <c r="E52" s="2558"/>
      <c r="F52" s="2553"/>
      <c r="G52" s="2553"/>
      <c r="H52" s="2551"/>
      <c r="I52" s="2551"/>
      <c r="J52" s="2559"/>
      <c r="K52" s="2553"/>
      <c r="L52" s="2553"/>
      <c r="M52" s="2553"/>
    </row>
    <row r="53" spans="1:13" s="2571" customFormat="1" ht="25.5" customHeight="1" thickBot="1" x14ac:dyDescent="0.3">
      <c r="B53" s="2590" t="s">
        <v>45</v>
      </c>
      <c r="C53" s="2573"/>
      <c r="D53" s="2574"/>
      <c r="E53" s="2574"/>
      <c r="F53" s="2574"/>
      <c r="G53" s="2574"/>
      <c r="H53" s="2607">
        <f>SUM(H37:H51)</f>
        <v>187843.50976407176</v>
      </c>
      <c r="I53" s="2607">
        <f>SUM(I37:I51)</f>
        <v>312283.7324379253</v>
      </c>
      <c r="J53" s="2591"/>
      <c r="K53" s="2574"/>
      <c r="L53" s="2574"/>
      <c r="M53" s="2574">
        <f>SUM(M37:M51)</f>
        <v>500127.24220199697</v>
      </c>
    </row>
    <row r="54" spans="1:13" ht="28.5" customHeight="1" x14ac:dyDescent="0.2">
      <c r="A54" s="2549"/>
      <c r="B54" s="2774" t="s">
        <v>97</v>
      </c>
      <c r="C54" s="2775"/>
      <c r="D54" s="2775"/>
      <c r="E54" s="2554"/>
      <c r="F54" s="2552"/>
      <c r="G54" s="2550"/>
      <c r="H54" s="2551"/>
      <c r="I54" s="2551"/>
      <c r="J54" s="2552"/>
      <c r="K54" s="2550"/>
      <c r="L54" s="2550"/>
      <c r="M54" s="2553"/>
    </row>
    <row r="55" spans="1:13" ht="51" x14ac:dyDescent="0.2">
      <c r="B55" s="2555"/>
      <c r="C55" s="2600" t="s">
        <v>98</v>
      </c>
      <c r="D55" s="2601" t="s">
        <v>99</v>
      </c>
      <c r="E55" s="2558" t="s">
        <v>998</v>
      </c>
      <c r="F55" s="2553">
        <v>6</v>
      </c>
      <c r="G55" s="2553">
        <v>1261.8185031368739</v>
      </c>
      <c r="H55" s="2551">
        <v>7570.9110188212426</v>
      </c>
      <c r="I55" s="2551">
        <f t="shared" si="0"/>
        <v>-5008.3944508261902</v>
      </c>
      <c r="J55" s="2559" t="s">
        <v>998</v>
      </c>
      <c r="K55" s="2553">
        <v>2</v>
      </c>
      <c r="L55" s="2553">
        <v>1281.258283997526</v>
      </c>
      <c r="M55" s="2553">
        <v>2562.5165679950519</v>
      </c>
    </row>
    <row r="56" spans="1:13" ht="51" x14ac:dyDescent="0.2">
      <c r="B56" s="2555"/>
      <c r="C56" s="2600" t="s">
        <v>101</v>
      </c>
      <c r="D56" s="2601" t="s">
        <v>547</v>
      </c>
      <c r="E56" s="2558" t="s">
        <v>993</v>
      </c>
      <c r="F56" s="2553">
        <v>120</v>
      </c>
      <c r="G56" s="2553">
        <v>578.77529380577892</v>
      </c>
      <c r="H56" s="2551">
        <v>69453.035256693474</v>
      </c>
      <c r="I56" s="2551">
        <f t="shared" si="0"/>
        <v>-25669.347000088361</v>
      </c>
      <c r="J56" s="2559" t="s">
        <v>993</v>
      </c>
      <c r="K56" s="2553">
        <v>120</v>
      </c>
      <c r="L56" s="2553">
        <v>364.86406880504262</v>
      </c>
      <c r="M56" s="2553">
        <v>43783.688256605114</v>
      </c>
    </row>
    <row r="57" spans="1:13" ht="25.5" x14ac:dyDescent="0.2">
      <c r="B57" s="2555"/>
      <c r="C57" s="2600" t="s">
        <v>102</v>
      </c>
      <c r="D57" s="2601" t="s">
        <v>467</v>
      </c>
      <c r="E57" s="2558" t="s">
        <v>1010</v>
      </c>
      <c r="F57" s="2553">
        <v>0</v>
      </c>
      <c r="G57" s="2553">
        <v>0</v>
      </c>
      <c r="H57" s="2551">
        <v>0</v>
      </c>
      <c r="I57" s="2551">
        <f t="shared" si="0"/>
        <v>185049.04126535301</v>
      </c>
      <c r="J57" s="2559" t="s">
        <v>1010</v>
      </c>
      <c r="K57" s="2553">
        <v>10</v>
      </c>
      <c r="L57" s="2553">
        <v>18504.904126535301</v>
      </c>
      <c r="M57" s="2553">
        <v>185049.04126535301</v>
      </c>
    </row>
    <row r="58" spans="1:13" ht="38.25" x14ac:dyDescent="0.2">
      <c r="B58" s="2555"/>
      <c r="C58" s="2600" t="s">
        <v>468</v>
      </c>
      <c r="D58" s="2601" t="s">
        <v>469</v>
      </c>
      <c r="E58" s="2558" t="s">
        <v>993</v>
      </c>
      <c r="F58" s="2553">
        <v>0</v>
      </c>
      <c r="G58" s="2553">
        <v>0</v>
      </c>
      <c r="H58" s="2551">
        <v>0</v>
      </c>
      <c r="I58" s="2551">
        <f t="shared" si="0"/>
        <v>3004.329769373509</v>
      </c>
      <c r="J58" s="2559" t="s">
        <v>993</v>
      </c>
      <c r="K58" s="2553">
        <v>100</v>
      </c>
      <c r="L58" s="2553">
        <v>30.043297693735092</v>
      </c>
      <c r="M58" s="2553">
        <v>3004.329769373509</v>
      </c>
    </row>
    <row r="59" spans="1:13" ht="38.25" x14ac:dyDescent="0.2">
      <c r="B59" s="2555"/>
      <c r="C59" s="2600" t="s">
        <v>470</v>
      </c>
      <c r="D59" s="2601" t="s">
        <v>595</v>
      </c>
      <c r="E59" s="2558" t="s">
        <v>1015</v>
      </c>
      <c r="F59" s="2553">
        <v>26</v>
      </c>
      <c r="G59" s="2553">
        <v>2871.7858089599717</v>
      </c>
      <c r="H59" s="2551">
        <v>74666.43103295927</v>
      </c>
      <c r="I59" s="2551">
        <f t="shared" si="0"/>
        <v>-32265.618096668732</v>
      </c>
      <c r="J59" s="2559" t="s">
        <v>1015</v>
      </c>
      <c r="K59" s="2553">
        <v>11</v>
      </c>
      <c r="L59" s="2553">
        <v>3854.6193578445941</v>
      </c>
      <c r="M59" s="2553">
        <v>42400.812936290538</v>
      </c>
    </row>
    <row r="60" spans="1:13" ht="25.5" x14ac:dyDescent="0.2">
      <c r="B60" s="2555"/>
      <c r="C60" s="2600" t="s">
        <v>919</v>
      </c>
      <c r="D60" s="2601" t="s">
        <v>668</v>
      </c>
      <c r="E60" s="2558" t="s">
        <v>1039</v>
      </c>
      <c r="F60" s="2553">
        <v>0</v>
      </c>
      <c r="G60" s="2553">
        <v>0</v>
      </c>
      <c r="H60" s="2551">
        <v>0</v>
      </c>
      <c r="I60" s="2551">
        <f t="shared" si="0"/>
        <v>4665.5474065565086</v>
      </c>
      <c r="J60" s="2559" t="s">
        <v>1039</v>
      </c>
      <c r="K60" s="2553">
        <v>2</v>
      </c>
      <c r="L60" s="2553">
        <v>2332.7737032782543</v>
      </c>
      <c r="M60" s="2553">
        <v>4665.5474065565086</v>
      </c>
    </row>
    <row r="61" spans="1:13" ht="38.25" x14ac:dyDescent="0.2">
      <c r="B61" s="2555"/>
      <c r="C61" s="2600" t="s">
        <v>920</v>
      </c>
      <c r="D61" s="2601" t="s">
        <v>902</v>
      </c>
      <c r="E61" s="2558" t="s">
        <v>993</v>
      </c>
      <c r="F61" s="2553">
        <v>0</v>
      </c>
      <c r="G61" s="2553">
        <v>0</v>
      </c>
      <c r="H61" s="2551">
        <v>0</v>
      </c>
      <c r="I61" s="2551">
        <f t="shared" si="0"/>
        <v>53371.034726517639</v>
      </c>
      <c r="J61" s="2559" t="s">
        <v>993</v>
      </c>
      <c r="K61" s="2553">
        <v>370</v>
      </c>
      <c r="L61" s="2553">
        <v>144.24603980139901</v>
      </c>
      <c r="M61" s="2553">
        <v>53371.034726517639</v>
      </c>
    </row>
    <row r="62" spans="1:13" ht="51" x14ac:dyDescent="0.2">
      <c r="B62" s="2555"/>
      <c r="C62" s="2600" t="s">
        <v>912</v>
      </c>
      <c r="D62" s="2601" t="s">
        <v>913</v>
      </c>
      <c r="E62" s="2558" t="s">
        <v>1097</v>
      </c>
      <c r="F62" s="2553">
        <v>0</v>
      </c>
      <c r="G62" s="2553">
        <v>0</v>
      </c>
      <c r="H62" s="2551">
        <v>0</v>
      </c>
      <c r="I62" s="2551">
        <f t="shared" si="0"/>
        <v>3101.5286736767698</v>
      </c>
      <c r="J62" s="2559" t="s">
        <v>1097</v>
      </c>
      <c r="K62" s="2553">
        <v>1</v>
      </c>
      <c r="L62" s="2553">
        <v>3101.5286736767698</v>
      </c>
      <c r="M62" s="2553">
        <v>3101.5286736767698</v>
      </c>
    </row>
    <row r="63" spans="1:13" ht="13.5" thickBot="1" x14ac:dyDescent="0.25">
      <c r="B63" s="2555"/>
      <c r="C63" s="2600"/>
      <c r="D63" s="2601"/>
      <c r="E63" s="2558"/>
      <c r="F63" s="2553"/>
      <c r="G63" s="2553"/>
      <c r="H63" s="2551"/>
      <c r="I63" s="2551"/>
      <c r="J63" s="2559"/>
      <c r="K63" s="2553"/>
      <c r="L63" s="2553"/>
      <c r="M63" s="2553"/>
    </row>
    <row r="64" spans="1:13" s="2571" customFormat="1" ht="25.5" customHeight="1" thickBot="1" x14ac:dyDescent="0.3">
      <c r="B64" s="2590" t="s">
        <v>45</v>
      </c>
      <c r="C64" s="2573"/>
      <c r="D64" s="2574"/>
      <c r="E64" s="2574"/>
      <c r="F64" s="2574"/>
      <c r="G64" s="2574"/>
      <c r="H64" s="2575">
        <f>SUM(H55:H63)</f>
        <v>151690.37730847398</v>
      </c>
      <c r="I64" s="2575">
        <f>SUM(I55:I63)</f>
        <v>186248.12229389415</v>
      </c>
      <c r="J64" s="2591"/>
      <c r="K64" s="2574"/>
      <c r="L64" s="2574"/>
      <c r="M64" s="2574">
        <f>SUM(M55:M63)</f>
        <v>337938.4996023681</v>
      </c>
    </row>
    <row r="65" spans="1:13" ht="13.5" thickBot="1" x14ac:dyDescent="0.25">
      <c r="B65" s="2602"/>
      <c r="C65" s="2608"/>
      <c r="D65" s="2609"/>
      <c r="E65" s="2558"/>
      <c r="F65" s="2553"/>
      <c r="G65" s="2553"/>
      <c r="I65" s="2549"/>
      <c r="J65" s="2559"/>
      <c r="K65" s="2553"/>
      <c r="L65" s="2553"/>
    </row>
    <row r="66" spans="1:13" ht="28.5" customHeight="1" x14ac:dyDescent="0.2">
      <c r="A66" s="2549"/>
      <c r="B66" s="2774" t="s">
        <v>103</v>
      </c>
      <c r="C66" s="2775"/>
      <c r="D66" s="2775"/>
      <c r="E66" s="2554"/>
      <c r="F66" s="2552"/>
      <c r="G66" s="2550"/>
      <c r="H66" s="2551"/>
      <c r="I66" s="2551"/>
      <c r="J66" s="2552"/>
      <c r="K66" s="2550"/>
      <c r="L66" s="2550"/>
      <c r="M66" s="2553"/>
    </row>
    <row r="67" spans="1:13" ht="39.75" customHeight="1" x14ac:dyDescent="0.2">
      <c r="B67" s="2555"/>
      <c r="C67" s="2600" t="s">
        <v>104</v>
      </c>
      <c r="D67" s="2601" t="s">
        <v>105</v>
      </c>
      <c r="E67" s="2558"/>
      <c r="F67" s="2553">
        <v>10</v>
      </c>
      <c r="G67" s="2553">
        <v>353.45056110276579</v>
      </c>
      <c r="H67" s="2551">
        <v>3534.5056110276601</v>
      </c>
      <c r="I67" s="2551">
        <f t="shared" si="0"/>
        <v>-3534.5056110276601</v>
      </c>
      <c r="J67" s="2559"/>
      <c r="K67" s="2553"/>
      <c r="L67" s="2553"/>
      <c r="M67" s="2553"/>
    </row>
    <row r="68" spans="1:13" ht="39.75" customHeight="1" x14ac:dyDescent="0.2">
      <c r="B68" s="2555"/>
      <c r="C68" s="2600" t="s">
        <v>107</v>
      </c>
      <c r="D68" s="2601" t="s">
        <v>471</v>
      </c>
      <c r="E68" s="2558" t="s">
        <v>993</v>
      </c>
      <c r="F68" s="2553">
        <v>30</v>
      </c>
      <c r="G68" s="2553">
        <v>35.34505611027658</v>
      </c>
      <c r="H68" s="2551">
        <v>1060.3516833082974</v>
      </c>
      <c r="I68" s="2551">
        <f t="shared" si="0"/>
        <v>4020.5001325439607</v>
      </c>
      <c r="J68" s="2559" t="s">
        <v>993</v>
      </c>
      <c r="K68" s="2553">
        <v>200</v>
      </c>
      <c r="L68" s="2553">
        <v>25.404259079261291</v>
      </c>
      <c r="M68" s="2553">
        <v>5080.8518158522584</v>
      </c>
    </row>
    <row r="69" spans="1:13" ht="39.75" customHeight="1" x14ac:dyDescent="0.2">
      <c r="B69" s="2555"/>
      <c r="C69" s="2600" t="s">
        <v>914</v>
      </c>
      <c r="D69" s="2601" t="s">
        <v>978</v>
      </c>
      <c r="E69" s="2558"/>
      <c r="F69" s="2553">
        <v>350</v>
      </c>
      <c r="G69" s="2553">
        <v>35.34505611027658</v>
      </c>
      <c r="H69" s="2551">
        <v>12370.769638596803</v>
      </c>
      <c r="I69" s="2551">
        <f t="shared" si="0"/>
        <v>-12370.769638596803</v>
      </c>
      <c r="J69" s="2559"/>
      <c r="K69" s="2553">
        <v>0</v>
      </c>
      <c r="L69" s="2553">
        <v>0</v>
      </c>
      <c r="M69" s="2553">
        <v>0</v>
      </c>
    </row>
    <row r="70" spans="1:13" ht="39.75" customHeight="1" thickBot="1" x14ac:dyDescent="0.25">
      <c r="B70" s="2555"/>
      <c r="C70" s="2600"/>
      <c r="D70" s="2601"/>
      <c r="E70" s="2558"/>
      <c r="F70" s="2553"/>
      <c r="G70" s="2553"/>
      <c r="H70" s="2551"/>
      <c r="I70" s="2551"/>
      <c r="J70" s="2559"/>
      <c r="K70" s="2553"/>
      <c r="L70" s="2553"/>
      <c r="M70" s="2553"/>
    </row>
    <row r="71" spans="1:13" s="2571" customFormat="1" ht="25.5" customHeight="1" thickBot="1" x14ac:dyDescent="0.3">
      <c r="B71" s="2590" t="s">
        <v>45</v>
      </c>
      <c r="C71" s="2573"/>
      <c r="D71" s="2574">
        <f>SUM(D70:D70)</f>
        <v>0</v>
      </c>
      <c r="E71" s="2574"/>
      <c r="F71" s="2574"/>
      <c r="G71" s="2574"/>
      <c r="H71" s="2575">
        <f>SUM(H67:H70)</f>
        <v>16965.626932932762</v>
      </c>
      <c r="I71" s="2575">
        <f t="shared" si="0"/>
        <v>-11884.775117080504</v>
      </c>
      <c r="J71" s="2610"/>
      <c r="K71" s="2577"/>
      <c r="L71" s="2577"/>
      <c r="M71" s="2574">
        <f>SUM(M67:M70)</f>
        <v>5080.8518158522584</v>
      </c>
    </row>
    <row r="72" spans="1:13" ht="13.5" thickBot="1" x14ac:dyDescent="0.25">
      <c r="B72" s="2592"/>
      <c r="C72" s="2593"/>
      <c r="D72" s="2563"/>
      <c r="E72" s="2558"/>
      <c r="F72" s="2553"/>
      <c r="G72" s="2553"/>
      <c r="I72" s="2549"/>
      <c r="J72" s="2559"/>
      <c r="K72" s="2553"/>
      <c r="L72" s="2553"/>
    </row>
    <row r="73" spans="1:13" ht="28.5" customHeight="1" x14ac:dyDescent="0.2">
      <c r="A73" s="2549"/>
      <c r="B73" s="2774" t="s">
        <v>111</v>
      </c>
      <c r="C73" s="2775"/>
      <c r="D73" s="2775"/>
      <c r="E73" s="2554"/>
      <c r="F73" s="2552"/>
      <c r="G73" s="2550"/>
      <c r="H73" s="2551"/>
      <c r="I73" s="2551"/>
      <c r="J73" s="2552"/>
      <c r="K73" s="2550"/>
      <c r="L73" s="2550"/>
      <c r="M73" s="2553"/>
    </row>
    <row r="74" spans="1:13" ht="39.75" customHeight="1" x14ac:dyDescent="0.2">
      <c r="B74" s="2555"/>
      <c r="C74" s="2600" t="s">
        <v>114</v>
      </c>
      <c r="D74" s="2601" t="s">
        <v>903</v>
      </c>
      <c r="E74" s="2558" t="s">
        <v>993</v>
      </c>
      <c r="F74" s="2553">
        <v>45</v>
      </c>
      <c r="G74" s="2553">
        <v>1089.8058967335278</v>
      </c>
      <c r="H74" s="2551">
        <v>49041.265353008748</v>
      </c>
      <c r="I74" s="2551">
        <f t="shared" ref="I74:I135" si="1">+M74-H74</f>
        <v>27074.312980471856</v>
      </c>
      <c r="J74" s="2559" t="s">
        <v>993</v>
      </c>
      <c r="K74" s="2553">
        <v>90</v>
      </c>
      <c r="L74" s="2553">
        <v>845.72864814978448</v>
      </c>
      <c r="M74" s="2553">
        <v>76115.578333480604</v>
      </c>
    </row>
    <row r="75" spans="1:13" ht="39.75" customHeight="1" x14ac:dyDescent="0.2">
      <c r="B75" s="2555"/>
      <c r="C75" s="2600" t="s">
        <v>473</v>
      </c>
      <c r="D75" s="2601" t="s">
        <v>474</v>
      </c>
      <c r="E75" s="2558" t="s">
        <v>1009</v>
      </c>
      <c r="F75" s="2553">
        <v>0</v>
      </c>
      <c r="G75" s="2553">
        <v>0</v>
      </c>
      <c r="H75" s="2551">
        <v>0</v>
      </c>
      <c r="I75" s="2551">
        <f t="shared" si="1"/>
        <v>4771.5825748873376</v>
      </c>
      <c r="J75" s="2559" t="s">
        <v>1009</v>
      </c>
      <c r="K75" s="2553">
        <v>45</v>
      </c>
      <c r="L75" s="2553">
        <v>106.03516833082973</v>
      </c>
      <c r="M75" s="2553">
        <v>4771.5825748873376</v>
      </c>
    </row>
    <row r="76" spans="1:13" ht="39.75" customHeight="1" x14ac:dyDescent="0.2">
      <c r="B76" s="2555"/>
      <c r="C76" s="2600" t="s">
        <v>116</v>
      </c>
      <c r="D76" s="2601" t="s">
        <v>476</v>
      </c>
      <c r="E76" s="2558" t="s">
        <v>993</v>
      </c>
      <c r="F76" s="2553">
        <v>45</v>
      </c>
      <c r="G76" s="2553">
        <v>463.90386144738005</v>
      </c>
      <c r="H76" s="2551">
        <v>20875.673765132102</v>
      </c>
      <c r="I76" s="2551">
        <f t="shared" si="1"/>
        <v>-18178.845983918</v>
      </c>
      <c r="J76" s="2559" t="s">
        <v>993</v>
      </c>
      <c r="K76" s="2553">
        <v>45</v>
      </c>
      <c r="L76" s="2553">
        <v>59.929506249202284</v>
      </c>
      <c r="M76" s="2553">
        <v>2696.8277812141027</v>
      </c>
    </row>
    <row r="77" spans="1:13" ht="39.75" customHeight="1" x14ac:dyDescent="0.2">
      <c r="B77" s="2555"/>
      <c r="C77" s="2600" t="s">
        <v>477</v>
      </c>
      <c r="D77" s="2601" t="s">
        <v>119</v>
      </c>
      <c r="E77" s="2558" t="s">
        <v>1001</v>
      </c>
      <c r="F77" s="2553">
        <v>25</v>
      </c>
      <c r="G77" s="2553">
        <v>353.45056110276579</v>
      </c>
      <c r="H77" s="2551">
        <v>8836.2640275691447</v>
      </c>
      <c r="I77" s="2551">
        <f t="shared" si="1"/>
        <v>521.33957762657883</v>
      </c>
      <c r="J77" s="2559" t="s">
        <v>1001</v>
      </c>
      <c r="K77" s="2553">
        <v>2</v>
      </c>
      <c r="L77" s="2553">
        <v>4678.8018025978618</v>
      </c>
      <c r="M77" s="2553">
        <v>9357.6036051957235</v>
      </c>
    </row>
    <row r="78" spans="1:13" ht="39.75" customHeight="1" x14ac:dyDescent="0.2">
      <c r="B78" s="2555"/>
      <c r="C78" s="2600" t="s">
        <v>858</v>
      </c>
      <c r="D78" s="2601" t="s">
        <v>669</v>
      </c>
      <c r="E78" s="2558" t="s">
        <v>1001</v>
      </c>
      <c r="F78" s="2553">
        <v>0</v>
      </c>
      <c r="G78" s="2553">
        <v>0</v>
      </c>
      <c r="H78" s="2551">
        <v>0</v>
      </c>
      <c r="I78" s="2551">
        <f t="shared" si="1"/>
        <v>4418.1320137845723</v>
      </c>
      <c r="J78" s="2559" t="s">
        <v>1001</v>
      </c>
      <c r="K78" s="2553">
        <v>10</v>
      </c>
      <c r="L78" s="2553">
        <v>441.81320137845722</v>
      </c>
      <c r="M78" s="2553">
        <v>4418.1320137845723</v>
      </c>
    </row>
    <row r="79" spans="1:13" ht="39.75" customHeight="1" x14ac:dyDescent="0.2">
      <c r="B79" s="2555"/>
      <c r="C79" s="2600" t="s">
        <v>859</v>
      </c>
      <c r="D79" s="2601" t="s">
        <v>671</v>
      </c>
      <c r="E79" s="2558" t="s">
        <v>993</v>
      </c>
      <c r="F79" s="2553">
        <v>0</v>
      </c>
      <c r="G79" s="2553">
        <v>0</v>
      </c>
      <c r="H79" s="2551">
        <v>0</v>
      </c>
      <c r="I79" s="2551">
        <f t="shared" si="1"/>
        <v>19881.594062030574</v>
      </c>
      <c r="J79" s="2559" t="s">
        <v>993</v>
      </c>
      <c r="K79" s="2553">
        <v>50</v>
      </c>
      <c r="L79" s="2553">
        <v>397.63188124061151</v>
      </c>
      <c r="M79" s="2553">
        <v>19881.594062030574</v>
      </c>
    </row>
    <row r="80" spans="1:13" ht="39.75" customHeight="1" x14ac:dyDescent="0.2">
      <c r="B80" s="2555"/>
      <c r="C80" s="2600" t="s">
        <v>860</v>
      </c>
      <c r="D80" s="2601" t="s">
        <v>478</v>
      </c>
      <c r="E80" s="2558" t="s">
        <v>1098</v>
      </c>
      <c r="F80" s="2553">
        <v>0</v>
      </c>
      <c r="G80" s="2553">
        <v>0</v>
      </c>
      <c r="H80" s="2551">
        <v>0</v>
      </c>
      <c r="I80" s="2551">
        <f t="shared" si="1"/>
        <v>6627.1980206768585</v>
      </c>
      <c r="J80" s="2559" t="s">
        <v>1098</v>
      </c>
      <c r="K80" s="2553">
        <v>4</v>
      </c>
      <c r="L80" s="2553">
        <v>1656.7995051692146</v>
      </c>
      <c r="M80" s="2553">
        <v>6627.1980206768585</v>
      </c>
    </row>
    <row r="81" spans="2:13" ht="39.75" customHeight="1" x14ac:dyDescent="0.2">
      <c r="B81" s="2555"/>
      <c r="C81" s="2600" t="s">
        <v>861</v>
      </c>
      <c r="D81" s="2601" t="s">
        <v>482</v>
      </c>
      <c r="E81" s="2558" t="s">
        <v>1099</v>
      </c>
      <c r="F81" s="2553">
        <v>0</v>
      </c>
      <c r="G81" s="2553">
        <v>0</v>
      </c>
      <c r="H81" s="2551">
        <v>0</v>
      </c>
      <c r="I81" s="2551">
        <f t="shared" si="1"/>
        <v>8836.2640275691447</v>
      </c>
      <c r="J81" s="2559" t="s">
        <v>1099</v>
      </c>
      <c r="K81" s="2553">
        <v>50</v>
      </c>
      <c r="L81" s="2553">
        <v>176.72528055138289</v>
      </c>
      <c r="M81" s="2553">
        <v>8836.2640275691447</v>
      </c>
    </row>
    <row r="82" spans="2:13" ht="39.75" customHeight="1" x14ac:dyDescent="0.2">
      <c r="B82" s="2555"/>
      <c r="C82" s="2600" t="s">
        <v>862</v>
      </c>
      <c r="D82" s="2601" t="s">
        <v>712</v>
      </c>
      <c r="E82" s="2558" t="s">
        <v>1100</v>
      </c>
      <c r="F82" s="2553">
        <v>0</v>
      </c>
      <c r="G82" s="2553">
        <v>0</v>
      </c>
      <c r="H82" s="2551">
        <v>0</v>
      </c>
      <c r="I82" s="2551">
        <f t="shared" si="1"/>
        <v>4771.5825748873376</v>
      </c>
      <c r="J82" s="2559" t="s">
        <v>1100</v>
      </c>
      <c r="K82" s="2553">
        <v>30</v>
      </c>
      <c r="L82" s="2553">
        <v>159.05275249624461</v>
      </c>
      <c r="M82" s="2553">
        <v>4771.5825748873376</v>
      </c>
    </row>
    <row r="83" spans="2:13" ht="39.75" customHeight="1" x14ac:dyDescent="0.2">
      <c r="B83" s="2555"/>
      <c r="C83" s="2600" t="s">
        <v>121</v>
      </c>
      <c r="D83" s="2601" t="s">
        <v>979</v>
      </c>
      <c r="E83" s="2558" t="s">
        <v>1073</v>
      </c>
      <c r="F83" s="2553">
        <v>50</v>
      </c>
      <c r="G83" s="2553">
        <v>883.62640275691444</v>
      </c>
      <c r="H83" s="2551">
        <v>44181.320137845723</v>
      </c>
      <c r="I83" s="2551">
        <f t="shared" si="1"/>
        <v>-29005.920296898475</v>
      </c>
      <c r="J83" s="2559" t="s">
        <v>1073</v>
      </c>
      <c r="K83" s="2553">
        <v>20</v>
      </c>
      <c r="L83" s="2553">
        <v>758.76999204736251</v>
      </c>
      <c r="M83" s="2553">
        <v>15175.399840947248</v>
      </c>
    </row>
    <row r="84" spans="2:13" ht="39.75" customHeight="1" x14ac:dyDescent="0.2">
      <c r="B84" s="2555"/>
      <c r="C84" s="2600" t="s">
        <v>980</v>
      </c>
      <c r="D84" s="2601" t="s">
        <v>484</v>
      </c>
      <c r="E84" s="2558" t="s">
        <v>1101</v>
      </c>
      <c r="F84" s="2553">
        <v>0</v>
      </c>
      <c r="G84" s="2553">
        <v>0</v>
      </c>
      <c r="H84" s="2551">
        <v>0</v>
      </c>
      <c r="I84" s="2551">
        <f t="shared" si="1"/>
        <v>742.24617831580815</v>
      </c>
      <c r="J84" s="2559" t="s">
        <v>1101</v>
      </c>
      <c r="K84" s="2553">
        <v>4</v>
      </c>
      <c r="L84" s="2553">
        <v>185.56154457895204</v>
      </c>
      <c r="M84" s="2553">
        <v>742.24617831580815</v>
      </c>
    </row>
    <row r="85" spans="2:13" ht="39.75" customHeight="1" x14ac:dyDescent="0.2">
      <c r="B85" s="2555"/>
      <c r="C85" s="2600" t="s">
        <v>123</v>
      </c>
      <c r="D85" s="2601" t="s">
        <v>548</v>
      </c>
      <c r="E85" s="2558" t="s">
        <v>1078</v>
      </c>
      <c r="F85" s="2553">
        <v>2</v>
      </c>
      <c r="G85" s="2553">
        <v>39763.188124061147</v>
      </c>
      <c r="H85" s="2551">
        <v>79526.376248122295</v>
      </c>
      <c r="I85" s="2551">
        <f t="shared" si="1"/>
        <v>-40829.433595475828</v>
      </c>
      <c r="J85" s="2559" t="s">
        <v>1078</v>
      </c>
      <c r="K85" s="2553">
        <v>2</v>
      </c>
      <c r="L85" s="2553">
        <v>19348.471326323233</v>
      </c>
      <c r="M85" s="2553">
        <v>38696.942652646467</v>
      </c>
    </row>
    <row r="86" spans="2:13" ht="39.75" customHeight="1" x14ac:dyDescent="0.2">
      <c r="B86" s="2555"/>
      <c r="C86" s="2600" t="s">
        <v>125</v>
      </c>
      <c r="D86" s="2601" t="s">
        <v>126</v>
      </c>
      <c r="E86" s="2558" t="s">
        <v>1004</v>
      </c>
      <c r="F86" s="2553">
        <v>1</v>
      </c>
      <c r="G86" s="2553">
        <v>8836.2640275691447</v>
      </c>
      <c r="H86" s="2551">
        <v>8836.2640275691447</v>
      </c>
      <c r="I86" s="2551">
        <f t="shared" si="1"/>
        <v>-8836.2640275691447</v>
      </c>
      <c r="J86" s="2559" t="s">
        <v>1004</v>
      </c>
      <c r="K86" s="2553">
        <v>0</v>
      </c>
      <c r="L86" s="2553">
        <v>0</v>
      </c>
      <c r="M86" s="2553">
        <v>0</v>
      </c>
    </row>
    <row r="87" spans="2:13" ht="39.75" customHeight="1" x14ac:dyDescent="0.2">
      <c r="B87" s="2555"/>
      <c r="C87" s="2600" t="s">
        <v>128</v>
      </c>
      <c r="D87" s="2601" t="s">
        <v>129</v>
      </c>
      <c r="E87" s="2558" t="s">
        <v>1004</v>
      </c>
      <c r="F87" s="2553">
        <v>1</v>
      </c>
      <c r="G87" s="2553">
        <v>44181.320137845723</v>
      </c>
      <c r="H87" s="2551">
        <v>44181.320137845723</v>
      </c>
      <c r="I87" s="2551">
        <f t="shared" si="1"/>
        <v>-44181.320137845723</v>
      </c>
      <c r="J87" s="2559" t="s">
        <v>1004</v>
      </c>
      <c r="K87" s="2553">
        <v>0</v>
      </c>
      <c r="L87" s="2553">
        <v>0</v>
      </c>
      <c r="M87" s="2553">
        <v>0</v>
      </c>
    </row>
    <row r="88" spans="2:13" ht="39.75" customHeight="1" x14ac:dyDescent="0.2">
      <c r="B88" s="2555"/>
      <c r="C88" s="2600" t="s">
        <v>131</v>
      </c>
      <c r="D88" s="2601" t="s">
        <v>599</v>
      </c>
      <c r="E88" s="2558" t="s">
        <v>993</v>
      </c>
      <c r="F88" s="2553">
        <v>260</v>
      </c>
      <c r="G88" s="2553">
        <v>51.25033135990104</v>
      </c>
      <c r="H88" s="2551">
        <v>13325.08615357427</v>
      </c>
      <c r="I88" s="2551">
        <f t="shared" si="1"/>
        <v>77485.199257753819</v>
      </c>
      <c r="J88" s="2559" t="s">
        <v>993</v>
      </c>
      <c r="K88" s="2553">
        <v>520</v>
      </c>
      <c r="L88" s="2553">
        <v>174.63516425255403</v>
      </c>
      <c r="M88" s="2553">
        <v>90810.285411328092</v>
      </c>
    </row>
    <row r="89" spans="2:13" ht="39.75" customHeight="1" x14ac:dyDescent="0.2">
      <c r="B89" s="2555"/>
      <c r="C89" s="2600" t="s">
        <v>132</v>
      </c>
      <c r="D89" s="2601" t="s">
        <v>133</v>
      </c>
      <c r="E89" s="2558" t="s">
        <v>993</v>
      </c>
      <c r="F89" s="2553">
        <v>15</v>
      </c>
      <c r="G89" s="2553">
        <v>883.62640275691444</v>
      </c>
      <c r="H89" s="2551">
        <v>13254.396041353717</v>
      </c>
      <c r="I89" s="2551">
        <f t="shared" si="1"/>
        <v>-8268.0922505964481</v>
      </c>
      <c r="J89" s="2559" t="s">
        <v>993</v>
      </c>
      <c r="K89" s="2553">
        <v>520</v>
      </c>
      <c r="L89" s="2553">
        <v>9.5890457514562843</v>
      </c>
      <c r="M89" s="2553">
        <v>4986.303790757268</v>
      </c>
    </row>
    <row r="90" spans="2:13" ht="39.75" customHeight="1" x14ac:dyDescent="0.2">
      <c r="B90" s="2555"/>
      <c r="C90" s="2600" t="s">
        <v>1029</v>
      </c>
      <c r="D90" s="2601" t="s">
        <v>136</v>
      </c>
      <c r="E90" s="2558" t="s">
        <v>993</v>
      </c>
      <c r="F90" s="2553">
        <v>10</v>
      </c>
      <c r="G90" s="2553">
        <v>1767.2528055138289</v>
      </c>
      <c r="H90" s="2551">
        <v>17672.528055138289</v>
      </c>
      <c r="I90" s="2551">
        <f t="shared" si="1"/>
        <v>4161.8803569850679</v>
      </c>
      <c r="J90" s="2559" t="s">
        <v>993</v>
      </c>
      <c r="K90" s="2553">
        <v>15</v>
      </c>
      <c r="L90" s="2553">
        <v>1455.6272274748903</v>
      </c>
      <c r="M90" s="2553">
        <v>21834.408412123357</v>
      </c>
    </row>
    <row r="91" spans="2:13" ht="39.75" customHeight="1" x14ac:dyDescent="0.2">
      <c r="B91" s="2555"/>
      <c r="C91" s="2600" t="s">
        <v>672</v>
      </c>
      <c r="D91" s="2601" t="s">
        <v>802</v>
      </c>
      <c r="E91" s="2558" t="s">
        <v>993</v>
      </c>
      <c r="F91" s="2553">
        <v>0</v>
      </c>
      <c r="G91" s="2553">
        <v>0</v>
      </c>
      <c r="H91" s="2551">
        <v>0</v>
      </c>
      <c r="I91" s="2551">
        <f t="shared" si="1"/>
        <v>17517.893434655827</v>
      </c>
      <c r="J91" s="2559" t="s">
        <v>993</v>
      </c>
      <c r="K91" s="2553">
        <v>30</v>
      </c>
      <c r="L91" s="2553">
        <v>583.92978115519429</v>
      </c>
      <c r="M91" s="2553">
        <v>17517.893434655827</v>
      </c>
    </row>
    <row r="92" spans="2:13" ht="39.75" customHeight="1" x14ac:dyDescent="0.2">
      <c r="B92" s="2555"/>
      <c r="C92" s="2600" t="s">
        <v>759</v>
      </c>
      <c r="D92" s="2601" t="s">
        <v>673</v>
      </c>
      <c r="E92" s="2558" t="s">
        <v>1002</v>
      </c>
      <c r="F92" s="2553">
        <v>0</v>
      </c>
      <c r="G92" s="2553">
        <v>0</v>
      </c>
      <c r="H92" s="2551">
        <v>0</v>
      </c>
      <c r="I92" s="2551">
        <f t="shared" si="1"/>
        <v>7952.6376248122297</v>
      </c>
      <c r="J92" s="2559" t="s">
        <v>1002</v>
      </c>
      <c r="K92" s="2553">
        <v>2</v>
      </c>
      <c r="L92" s="2553">
        <v>3976.3188124061148</v>
      </c>
      <c r="M92" s="2553">
        <v>7952.6376248122297</v>
      </c>
    </row>
    <row r="93" spans="2:13" ht="39.75" customHeight="1" x14ac:dyDescent="0.2">
      <c r="B93" s="2555"/>
      <c r="C93" s="2600" t="s">
        <v>138</v>
      </c>
      <c r="D93" s="2601" t="s">
        <v>139</v>
      </c>
      <c r="E93" s="2558" t="s">
        <v>993</v>
      </c>
      <c r="F93" s="2553">
        <v>40</v>
      </c>
      <c r="G93" s="2553">
        <v>220.90660068922861</v>
      </c>
      <c r="H93" s="2551">
        <v>8836.2640275691447</v>
      </c>
      <c r="I93" s="2551">
        <f t="shared" si="1"/>
        <v>-8836.2640275691447</v>
      </c>
      <c r="J93" s="2559" t="s">
        <v>993</v>
      </c>
      <c r="K93" s="2553">
        <v>0</v>
      </c>
      <c r="L93" s="2553">
        <v>0</v>
      </c>
      <c r="M93" s="2553">
        <v>0</v>
      </c>
    </row>
    <row r="94" spans="2:13" ht="39.75" customHeight="1" x14ac:dyDescent="0.2">
      <c r="B94" s="2555"/>
      <c r="C94" s="2600" t="s">
        <v>141</v>
      </c>
      <c r="D94" s="2601" t="s">
        <v>601</v>
      </c>
      <c r="E94" s="2558" t="s">
        <v>1001</v>
      </c>
      <c r="F94" s="2553">
        <v>32</v>
      </c>
      <c r="G94" s="2553">
        <v>358.97322611999647</v>
      </c>
      <c r="H94" s="2551">
        <v>11487.143235839887</v>
      </c>
      <c r="I94" s="2551">
        <f t="shared" si="1"/>
        <v>-1746.9293982504187</v>
      </c>
      <c r="J94" s="2559" t="s">
        <v>1001</v>
      </c>
      <c r="K94" s="2553">
        <v>2</v>
      </c>
      <c r="L94" s="2553">
        <v>4870.1069187947342</v>
      </c>
      <c r="M94" s="2553">
        <v>9740.2138375894683</v>
      </c>
    </row>
    <row r="95" spans="2:13" ht="39.75" customHeight="1" x14ac:dyDescent="0.2">
      <c r="B95" s="2555"/>
      <c r="C95" s="2600" t="s">
        <v>143</v>
      </c>
      <c r="D95" s="2601" t="s">
        <v>144</v>
      </c>
      <c r="E95" s="2558" t="s">
        <v>993</v>
      </c>
      <c r="F95" s="2553">
        <v>26</v>
      </c>
      <c r="G95" s="2553">
        <v>339.8563087526594</v>
      </c>
      <c r="H95" s="2551">
        <v>8836.2640275691447</v>
      </c>
      <c r="I95" s="2551">
        <f t="shared" si="1"/>
        <v>-6079.3496509675715</v>
      </c>
      <c r="J95" s="2559" t="s">
        <v>993</v>
      </c>
      <c r="K95" s="2553">
        <v>1</v>
      </c>
      <c r="L95" s="2553">
        <v>2756.9143766015732</v>
      </c>
      <c r="M95" s="2553">
        <v>2756.9143766015732</v>
      </c>
    </row>
    <row r="96" spans="2:13" ht="39.75" customHeight="1" x14ac:dyDescent="0.2">
      <c r="B96" s="2555"/>
      <c r="C96" s="2600" t="s">
        <v>146</v>
      </c>
      <c r="D96" s="2601" t="s">
        <v>604</v>
      </c>
      <c r="E96" s="2558" t="s">
        <v>1007</v>
      </c>
      <c r="F96" s="2553">
        <v>6</v>
      </c>
      <c r="G96" s="2553">
        <v>2945.4213425230482</v>
      </c>
      <c r="H96" s="2551">
        <v>17672.528055138289</v>
      </c>
      <c r="I96" s="2551">
        <f t="shared" si="1"/>
        <v>6649.2886807457799</v>
      </c>
      <c r="J96" s="2559" t="s">
        <v>1007</v>
      </c>
      <c r="K96" s="2553">
        <v>26</v>
      </c>
      <c r="L96" s="2553">
        <v>935.45448984169502</v>
      </c>
      <c r="M96" s="2553">
        <v>24321.816735884069</v>
      </c>
    </row>
    <row r="97" spans="1:13" ht="39.75" customHeight="1" x14ac:dyDescent="0.2">
      <c r="B97" s="2555"/>
      <c r="C97" s="2600" t="s">
        <v>147</v>
      </c>
      <c r="D97" s="2601" t="s">
        <v>148</v>
      </c>
      <c r="E97" s="2558" t="s">
        <v>1009</v>
      </c>
      <c r="F97" s="2553">
        <v>10</v>
      </c>
      <c r="G97" s="2553">
        <v>1767.2528055138289</v>
      </c>
      <c r="H97" s="2551">
        <v>17672.528055138289</v>
      </c>
      <c r="I97" s="2551">
        <f t="shared" si="1"/>
        <v>-17672.528055138289</v>
      </c>
      <c r="J97" s="2559" t="s">
        <v>1009</v>
      </c>
      <c r="K97" s="2553">
        <v>0</v>
      </c>
      <c r="L97" s="2553">
        <v>0</v>
      </c>
      <c r="M97" s="2553">
        <v>0</v>
      </c>
    </row>
    <row r="98" spans="1:13" ht="39.75" customHeight="1" x14ac:dyDescent="0.2">
      <c r="B98" s="2555"/>
      <c r="C98" s="2600" t="s">
        <v>150</v>
      </c>
      <c r="D98" s="2601" t="s">
        <v>605</v>
      </c>
      <c r="E98" s="2558" t="s">
        <v>1009</v>
      </c>
      <c r="F98" s="2553">
        <v>220</v>
      </c>
      <c r="G98" s="2553">
        <v>246.59201362391255</v>
      </c>
      <c r="H98" s="2551">
        <v>54250.242997260764</v>
      </c>
      <c r="I98" s="2551">
        <f t="shared" si="1"/>
        <v>-45157.727312892115</v>
      </c>
      <c r="J98" s="2559" t="s">
        <v>1009</v>
      </c>
      <c r="K98" s="2553">
        <v>12</v>
      </c>
      <c r="L98" s="2553">
        <v>757.70964036405417</v>
      </c>
      <c r="M98" s="2553">
        <v>9092.5156843686491</v>
      </c>
    </row>
    <row r="99" spans="1:13" ht="39.75" customHeight="1" x14ac:dyDescent="0.2">
      <c r="B99" s="2555"/>
      <c r="C99" s="2600" t="s">
        <v>152</v>
      </c>
      <c r="D99" s="2601" t="s">
        <v>153</v>
      </c>
      <c r="E99" s="2558" t="s">
        <v>1009</v>
      </c>
      <c r="F99" s="2553">
        <v>10</v>
      </c>
      <c r="G99" s="2553">
        <v>2332.7737032782543</v>
      </c>
      <c r="H99" s="2551">
        <v>23327.737032782541</v>
      </c>
      <c r="I99" s="2551">
        <f t="shared" si="1"/>
        <v>-23327.737032782541</v>
      </c>
      <c r="J99" s="2559" t="s">
        <v>1009</v>
      </c>
      <c r="K99" s="2553">
        <v>0</v>
      </c>
      <c r="L99" s="2553">
        <v>0</v>
      </c>
      <c r="M99" s="2553">
        <v>0</v>
      </c>
    </row>
    <row r="100" spans="1:13" ht="39.75" customHeight="1" x14ac:dyDescent="0.2">
      <c r="B100" s="2555"/>
      <c r="C100" s="2600" t="s">
        <v>486</v>
      </c>
      <c r="D100" s="2601" t="s">
        <v>674</v>
      </c>
      <c r="E100" s="2558"/>
      <c r="F100" s="2553">
        <v>0</v>
      </c>
      <c r="G100" s="2553">
        <v>0</v>
      </c>
      <c r="H100" s="2551">
        <v>0</v>
      </c>
      <c r="I100" s="2551">
        <f t="shared" si="1"/>
        <v>2209.0660068922862</v>
      </c>
      <c r="J100" s="2559"/>
      <c r="K100" s="2553">
        <v>35</v>
      </c>
      <c r="L100" s="2553">
        <v>63.116171625493891</v>
      </c>
      <c r="M100" s="2553">
        <v>2209.0660068922862</v>
      </c>
    </row>
    <row r="101" spans="1:13" ht="39.75" customHeight="1" x14ac:dyDescent="0.2">
      <c r="B101" s="2555"/>
      <c r="C101" s="2600" t="s">
        <v>487</v>
      </c>
      <c r="D101" s="2601" t="s">
        <v>488</v>
      </c>
      <c r="E101" s="2558"/>
      <c r="F101" s="2553">
        <v>0</v>
      </c>
      <c r="G101" s="2553">
        <v>0</v>
      </c>
      <c r="H101" s="2551">
        <v>0</v>
      </c>
      <c r="I101" s="2551">
        <f t="shared" si="1"/>
        <v>5703.8084297958831</v>
      </c>
      <c r="J101" s="2559"/>
      <c r="K101" s="2553">
        <v>5</v>
      </c>
      <c r="L101" s="2553">
        <v>1140.7616859591765</v>
      </c>
      <c r="M101" s="2553">
        <v>5703.8084297958831</v>
      </c>
    </row>
    <row r="102" spans="1:13" ht="39.75" customHeight="1" thickBot="1" x14ac:dyDescent="0.25">
      <c r="B102" s="2555"/>
      <c r="C102" s="2600"/>
      <c r="D102" s="2601"/>
      <c r="E102" s="2558"/>
      <c r="F102" s="2553"/>
      <c r="G102" s="2553"/>
      <c r="H102" s="2551"/>
      <c r="I102" s="2551"/>
      <c r="J102" s="2559"/>
      <c r="K102" s="2553"/>
      <c r="L102" s="2553"/>
      <c r="M102" s="2553"/>
    </row>
    <row r="103" spans="1:13" s="2571" customFormat="1" ht="25.5" customHeight="1" thickBot="1" x14ac:dyDescent="0.3">
      <c r="B103" s="2590" t="s">
        <v>45</v>
      </c>
      <c r="C103" s="2573"/>
      <c r="D103" s="2574">
        <f>SUM(D85:D94)</f>
        <v>0</v>
      </c>
      <c r="E103" s="2574"/>
      <c r="F103" s="2574"/>
      <c r="G103" s="2574"/>
      <c r="H103" s="2575">
        <f>SUM(H74:H102)</f>
        <v>441813.20137845725</v>
      </c>
      <c r="I103" s="2575">
        <f t="shared" si="1"/>
        <v>-52796.385968012677</v>
      </c>
      <c r="J103" s="2610"/>
      <c r="K103" s="2577"/>
      <c r="L103" s="2577"/>
      <c r="M103" s="2574">
        <f>SUM(M74:M102)</f>
        <v>389016.81541044457</v>
      </c>
    </row>
    <row r="104" spans="1:13" x14ac:dyDescent="0.2">
      <c r="B104" s="2611"/>
      <c r="C104" s="2612"/>
      <c r="D104" s="2561"/>
      <c r="E104" s="2558"/>
      <c r="F104" s="2553"/>
      <c r="G104" s="2553"/>
      <c r="I104" s="2549"/>
      <c r="J104" s="2559"/>
      <c r="K104" s="2553"/>
      <c r="L104" s="2553"/>
    </row>
    <row r="105" spans="1:13" ht="42.75" customHeight="1" thickBot="1" x14ac:dyDescent="0.25">
      <c r="A105" s="2549"/>
      <c r="B105" s="2776" t="s">
        <v>156</v>
      </c>
      <c r="C105" s="2777"/>
      <c r="D105" s="2777"/>
      <c r="E105" s="2778"/>
      <c r="F105" s="2782"/>
      <c r="G105" s="2782"/>
      <c r="H105" s="2551"/>
      <c r="I105" s="2551"/>
      <c r="J105" s="2552"/>
      <c r="K105" s="2550"/>
      <c r="L105" s="2550"/>
      <c r="M105" s="2553"/>
    </row>
    <row r="106" spans="1:13" ht="28.5" customHeight="1" x14ac:dyDescent="0.2">
      <c r="A106" s="2549"/>
      <c r="B106" s="2774" t="s">
        <v>157</v>
      </c>
      <c r="C106" s="2775"/>
      <c r="D106" s="2775"/>
      <c r="E106" s="2554"/>
      <c r="F106" s="2552"/>
      <c r="G106" s="2550"/>
      <c r="H106" s="2551"/>
      <c r="I106" s="2551"/>
      <c r="J106" s="2552"/>
      <c r="K106" s="2550"/>
      <c r="L106" s="2550"/>
      <c r="M106" s="2553"/>
    </row>
    <row r="107" spans="1:13" ht="51" x14ac:dyDescent="0.2">
      <c r="B107" s="2555"/>
      <c r="C107" s="2600" t="s">
        <v>158</v>
      </c>
      <c r="D107" s="2601" t="s">
        <v>549</v>
      </c>
      <c r="E107" s="2558" t="s">
        <v>1010</v>
      </c>
      <c r="F107" s="2553">
        <v>5</v>
      </c>
      <c r="G107" s="2553">
        <v>22642.926570645934</v>
      </c>
      <c r="H107" s="2551">
        <v>113214.63285322966</v>
      </c>
      <c r="I107" s="2551">
        <f t="shared" si="1"/>
        <v>9432.7118494300666</v>
      </c>
      <c r="J107" s="2559" t="s">
        <v>1010</v>
      </c>
      <c r="K107" s="2553">
        <v>6</v>
      </c>
      <c r="L107" s="2553">
        <v>20441.224117109952</v>
      </c>
      <c r="M107" s="2553">
        <v>122647.34470265973</v>
      </c>
    </row>
    <row r="108" spans="1:13" ht="25.5" x14ac:dyDescent="0.2">
      <c r="B108" s="2555"/>
      <c r="C108" s="2600" t="s">
        <v>489</v>
      </c>
      <c r="D108" s="2601" t="s">
        <v>490</v>
      </c>
      <c r="E108" s="2558" t="s">
        <v>1064</v>
      </c>
      <c r="F108" s="2553"/>
      <c r="G108" s="2553"/>
      <c r="H108" s="2551"/>
      <c r="I108" s="2551">
        <f t="shared" si="1"/>
        <v>4418.1320137845723</v>
      </c>
      <c r="J108" s="2559" t="s">
        <v>1064</v>
      </c>
      <c r="K108" s="2553">
        <v>10</v>
      </c>
      <c r="L108" s="2553">
        <v>441.81320137845722</v>
      </c>
      <c r="M108" s="2553">
        <v>4418.1320137845723</v>
      </c>
    </row>
    <row r="109" spans="1:13" ht="13.5" thickBot="1" x14ac:dyDescent="0.25">
      <c r="B109" s="2555"/>
      <c r="C109" s="2600"/>
      <c r="D109" s="2601"/>
      <c r="E109" s="2558"/>
      <c r="F109" s="2553"/>
      <c r="G109" s="2553"/>
      <c r="H109" s="2551"/>
      <c r="I109" s="2551"/>
      <c r="J109" s="2559"/>
      <c r="K109" s="2553"/>
      <c r="L109" s="2553"/>
      <c r="M109" s="2553"/>
    </row>
    <row r="110" spans="1:13" s="2571" customFormat="1" ht="25.5" customHeight="1" thickBot="1" x14ac:dyDescent="0.3">
      <c r="B110" s="2590" t="s">
        <v>45</v>
      </c>
      <c r="C110" s="2573"/>
      <c r="D110" s="2574"/>
      <c r="E110" s="2574"/>
      <c r="F110" s="2574"/>
      <c r="G110" s="2574"/>
      <c r="H110" s="2575">
        <f>SUM(H107:H108)</f>
        <v>113214.63285322966</v>
      </c>
      <c r="I110" s="2575">
        <f t="shared" si="1"/>
        <v>13850.843863214643</v>
      </c>
      <c r="J110" s="2591">
        <f>SUM(J107:J108)</f>
        <v>0</v>
      </c>
      <c r="K110" s="2574"/>
      <c r="L110" s="2574"/>
      <c r="M110" s="2574">
        <f>SUM(M107:M108)</f>
        <v>127065.4767164443</v>
      </c>
    </row>
    <row r="111" spans="1:13" x14ac:dyDescent="0.2">
      <c r="B111" s="2586"/>
      <c r="C111" s="2613"/>
      <c r="D111" s="2569"/>
      <c r="E111" s="2558"/>
      <c r="F111" s="2553"/>
      <c r="G111" s="2553"/>
      <c r="I111" s="2549">
        <f t="shared" si="1"/>
        <v>0</v>
      </c>
      <c r="J111" s="2559"/>
      <c r="K111" s="2553"/>
      <c r="L111" s="2553"/>
    </row>
    <row r="112" spans="1:13" ht="42.75" customHeight="1" x14ac:dyDescent="0.2">
      <c r="A112" s="2549"/>
      <c r="B112" s="2783" t="s">
        <v>160</v>
      </c>
      <c r="C112" s="2784"/>
      <c r="D112" s="2784"/>
      <c r="E112" s="2785"/>
      <c r="F112" s="2550"/>
      <c r="G112" s="2550"/>
      <c r="H112" s="2551"/>
      <c r="I112" s="2551">
        <f t="shared" si="1"/>
        <v>0</v>
      </c>
      <c r="J112" s="2552"/>
      <c r="K112" s="2550"/>
      <c r="L112" s="2550"/>
      <c r="M112" s="2553"/>
    </row>
    <row r="113" spans="1:13" ht="28.5" customHeight="1" x14ac:dyDescent="0.2">
      <c r="A113" s="2549"/>
      <c r="B113" s="2776" t="s">
        <v>550</v>
      </c>
      <c r="C113" s="2777"/>
      <c r="D113" s="2777"/>
      <c r="E113" s="2777"/>
      <c r="F113" s="2777"/>
      <c r="G113" s="2778"/>
      <c r="H113" s="2551"/>
      <c r="I113" s="2551">
        <f t="shared" si="1"/>
        <v>0</v>
      </c>
      <c r="J113" s="2552"/>
      <c r="K113" s="2550"/>
      <c r="L113" s="2550"/>
      <c r="M113" s="2553"/>
    </row>
    <row r="114" spans="1:13" ht="38.25" x14ac:dyDescent="0.2">
      <c r="B114" s="2555"/>
      <c r="C114" s="2600" t="s">
        <v>981</v>
      </c>
      <c r="D114" s="2601" t="s">
        <v>714</v>
      </c>
      <c r="E114" s="2558" t="s">
        <v>1007</v>
      </c>
      <c r="F114" s="2553">
        <v>90</v>
      </c>
      <c r="G114" s="2553">
        <v>70.690112220553161</v>
      </c>
      <c r="H114" s="2551">
        <v>6362.1100998497841</v>
      </c>
      <c r="I114" s="2551">
        <f t="shared" si="1"/>
        <v>-2120.7033666165944</v>
      </c>
      <c r="J114" s="2559" t="s">
        <v>1007</v>
      </c>
      <c r="K114" s="2553">
        <v>16</v>
      </c>
      <c r="L114" s="2553">
        <v>265.08792082707436</v>
      </c>
      <c r="M114" s="2553">
        <v>4241.4067332331897</v>
      </c>
    </row>
    <row r="115" spans="1:13" ht="25.5" x14ac:dyDescent="0.2">
      <c r="B115" s="2555"/>
      <c r="C115" s="2600" t="s">
        <v>491</v>
      </c>
      <c r="D115" s="2601" t="s">
        <v>748</v>
      </c>
      <c r="E115" s="2558" t="s">
        <v>1011</v>
      </c>
      <c r="F115" s="2553">
        <v>34</v>
      </c>
      <c r="G115" s="2553">
        <v>4583.4221291238064</v>
      </c>
      <c r="H115" s="2551">
        <v>155836.35239020942</v>
      </c>
      <c r="I115" s="2551">
        <f t="shared" si="1"/>
        <v>28876.910842095996</v>
      </c>
      <c r="J115" s="2559" t="s">
        <v>1011</v>
      </c>
      <c r="K115" s="2553">
        <v>46</v>
      </c>
      <c r="L115" s="2553">
        <v>4015.5057224414218</v>
      </c>
      <c r="M115" s="2553">
        <v>184713.26323230541</v>
      </c>
    </row>
    <row r="116" spans="1:13" ht="25.5" x14ac:dyDescent="0.2">
      <c r="B116" s="2555"/>
      <c r="C116" s="2600" t="s">
        <v>492</v>
      </c>
      <c r="D116" s="2601" t="s">
        <v>747</v>
      </c>
      <c r="E116" s="2558" t="s">
        <v>1011</v>
      </c>
      <c r="F116" s="2553">
        <v>34</v>
      </c>
      <c r="G116" s="2553">
        <v>6750.9057170628266</v>
      </c>
      <c r="H116" s="2551">
        <v>229530.7943801361</v>
      </c>
      <c r="I116" s="2551">
        <f t="shared" si="1"/>
        <v>41637.359724308568</v>
      </c>
      <c r="J116" s="2559" t="s">
        <v>1011</v>
      </c>
      <c r="K116" s="2553">
        <v>46</v>
      </c>
      <c r="L116" s="2553">
        <v>5894.9598718357538</v>
      </c>
      <c r="M116" s="2553">
        <v>271168.15410444466</v>
      </c>
    </row>
    <row r="117" spans="1:13" ht="25.5" x14ac:dyDescent="0.2">
      <c r="B117" s="2555"/>
      <c r="C117" s="2600" t="s">
        <v>493</v>
      </c>
      <c r="D117" s="2601" t="s">
        <v>746</v>
      </c>
      <c r="E117" s="2558" t="s">
        <v>1066</v>
      </c>
      <c r="F117" s="2553">
        <v>0</v>
      </c>
      <c r="G117" s="2553">
        <v>0</v>
      </c>
      <c r="H117" s="2551">
        <v>0</v>
      </c>
      <c r="I117" s="2551">
        <f t="shared" si="1"/>
        <v>12781.655915878768</v>
      </c>
      <c r="J117" s="2559" t="s">
        <v>1066</v>
      </c>
      <c r="K117" s="2553">
        <v>36</v>
      </c>
      <c r="L117" s="2553">
        <v>355.04599766329909</v>
      </c>
      <c r="M117" s="2553">
        <v>12781.655915878768</v>
      </c>
    </row>
    <row r="118" spans="1:13" ht="38.25" x14ac:dyDescent="0.2">
      <c r="B118" s="2555"/>
      <c r="C118" s="2600" t="s">
        <v>1076</v>
      </c>
      <c r="D118" s="2601" t="s">
        <v>608</v>
      </c>
      <c r="E118" s="2558" t="s">
        <v>1012</v>
      </c>
      <c r="F118" s="2553">
        <v>3</v>
      </c>
      <c r="G118" s="2553">
        <v>35345.056110276579</v>
      </c>
      <c r="H118" s="2551">
        <v>106035.16833082974</v>
      </c>
      <c r="I118" s="2551">
        <f t="shared" si="1"/>
        <v>-86686.692586374498</v>
      </c>
      <c r="J118" s="2559" t="s">
        <v>1012</v>
      </c>
      <c r="K118" s="2553">
        <v>1</v>
      </c>
      <c r="L118" s="2553">
        <v>19348.475744455245</v>
      </c>
      <c r="M118" s="2553">
        <v>19348.475744455245</v>
      </c>
    </row>
    <row r="119" spans="1:13" ht="38.25" x14ac:dyDescent="0.2">
      <c r="B119" s="2555"/>
      <c r="C119" s="2600" t="s">
        <v>495</v>
      </c>
      <c r="D119" s="2601" t="s">
        <v>496</v>
      </c>
      <c r="E119" s="2558" t="s">
        <v>1067</v>
      </c>
      <c r="F119" s="2553">
        <v>0</v>
      </c>
      <c r="G119" s="2553">
        <v>0</v>
      </c>
      <c r="H119" s="2551">
        <v>0</v>
      </c>
      <c r="I119" s="2551">
        <f t="shared" si="1"/>
        <v>51974.90501016171</v>
      </c>
      <c r="J119" s="2559" t="s">
        <v>1067</v>
      </c>
      <c r="K119" s="2553">
        <v>2</v>
      </c>
      <c r="L119" s="2553">
        <v>25987.452505080855</v>
      </c>
      <c r="M119" s="2553">
        <v>51974.90501016171</v>
      </c>
    </row>
    <row r="120" spans="1:13" ht="51" x14ac:dyDescent="0.2">
      <c r="B120" s="2555"/>
      <c r="C120" s="2600" t="s">
        <v>164</v>
      </c>
      <c r="D120" s="2601" t="s">
        <v>745</v>
      </c>
      <c r="E120" s="2558" t="s">
        <v>1008</v>
      </c>
      <c r="F120" s="2553">
        <v>2</v>
      </c>
      <c r="G120" s="2553">
        <v>1855.6154457895202</v>
      </c>
      <c r="H120" s="2551">
        <v>3711.2308915790404</v>
      </c>
      <c r="I120" s="2551">
        <f t="shared" si="1"/>
        <v>-2341.6099673058234</v>
      </c>
      <c r="J120" s="2559" t="s">
        <v>1008</v>
      </c>
      <c r="K120" s="2553">
        <v>2</v>
      </c>
      <c r="L120" s="2553">
        <v>684.81046213660863</v>
      </c>
      <c r="M120" s="2553">
        <v>1369.6209242732173</v>
      </c>
    </row>
    <row r="121" spans="1:13" ht="25.5" x14ac:dyDescent="0.2">
      <c r="B121" s="2555"/>
      <c r="C121" s="2600" t="s">
        <v>167</v>
      </c>
      <c r="D121" s="2601" t="s">
        <v>168</v>
      </c>
      <c r="E121" s="2558"/>
      <c r="F121" s="2553">
        <v>10</v>
      </c>
      <c r="G121" s="2553">
        <v>353.45056110276579</v>
      </c>
      <c r="H121" s="2551">
        <v>3534.5056110276578</v>
      </c>
      <c r="I121" s="2551">
        <f t="shared" si="1"/>
        <v>-3534.5056110276578</v>
      </c>
      <c r="J121" s="2559"/>
      <c r="K121" s="2553">
        <v>0</v>
      </c>
      <c r="L121" s="2553">
        <v>0</v>
      </c>
      <c r="M121" s="2553">
        <v>0</v>
      </c>
    </row>
    <row r="122" spans="1:13" ht="38.25" x14ac:dyDescent="0.2">
      <c r="B122" s="2555"/>
      <c r="C122" s="2600" t="s">
        <v>171</v>
      </c>
      <c r="D122" s="2601" t="s">
        <v>172</v>
      </c>
      <c r="E122" s="2558"/>
      <c r="F122" s="2553">
        <v>62</v>
      </c>
      <c r="G122" s="2553">
        <v>1053.0831435436839</v>
      </c>
      <c r="H122" s="2551">
        <v>65291.15489970841</v>
      </c>
      <c r="I122" s="2551">
        <f t="shared" si="1"/>
        <v>-65291.15489970841</v>
      </c>
      <c r="J122" s="2559"/>
      <c r="K122" s="2553">
        <v>0</v>
      </c>
      <c r="L122" s="2553">
        <v>0</v>
      </c>
      <c r="M122" s="2553">
        <v>0</v>
      </c>
    </row>
    <row r="123" spans="1:13" ht="25.5" x14ac:dyDescent="0.2">
      <c r="B123" s="2555"/>
      <c r="C123" s="2600" t="s">
        <v>174</v>
      </c>
      <c r="D123" s="2601" t="s">
        <v>175</v>
      </c>
      <c r="E123" s="2558" t="s">
        <v>1013</v>
      </c>
      <c r="F123" s="2553">
        <v>3</v>
      </c>
      <c r="G123" s="2553">
        <v>4712.6741480368764</v>
      </c>
      <c r="H123" s="2551">
        <v>14138.022444110631</v>
      </c>
      <c r="I123" s="2551">
        <f t="shared" si="1"/>
        <v>-706.90112220553237</v>
      </c>
      <c r="J123" s="2559" t="s">
        <v>1013</v>
      </c>
      <c r="K123" s="2553">
        <v>4</v>
      </c>
      <c r="L123" s="2553">
        <v>3357.7803304762747</v>
      </c>
      <c r="M123" s="2553">
        <v>13431.121321905099</v>
      </c>
    </row>
    <row r="124" spans="1:13" ht="25.5" x14ac:dyDescent="0.2">
      <c r="B124" s="2555"/>
      <c r="C124" s="2600" t="s">
        <v>177</v>
      </c>
      <c r="D124" s="2601" t="s">
        <v>178</v>
      </c>
      <c r="E124" s="2558" t="s">
        <v>1013</v>
      </c>
      <c r="F124" s="2553">
        <v>3</v>
      </c>
      <c r="G124" s="2553">
        <v>4418.1320137845723</v>
      </c>
      <c r="H124" s="2551">
        <v>13254.396041353717</v>
      </c>
      <c r="I124" s="2551">
        <f t="shared" si="1"/>
        <v>3543.3418750552264</v>
      </c>
      <c r="J124" s="2559" t="s">
        <v>1013</v>
      </c>
      <c r="K124" s="2553">
        <v>4</v>
      </c>
      <c r="L124" s="2553">
        <v>4199.4344791022359</v>
      </c>
      <c r="M124" s="2553">
        <v>16797.737916408943</v>
      </c>
    </row>
    <row r="125" spans="1:13" ht="38.25" x14ac:dyDescent="0.2">
      <c r="B125" s="2555"/>
      <c r="C125" s="2600" t="s">
        <v>717</v>
      </c>
      <c r="D125" s="2601" t="s">
        <v>715</v>
      </c>
      <c r="E125" s="2558" t="s">
        <v>1068</v>
      </c>
      <c r="F125" s="2553">
        <v>0</v>
      </c>
      <c r="G125" s="2553">
        <v>0</v>
      </c>
      <c r="H125" s="2551">
        <v>0</v>
      </c>
      <c r="I125" s="2551">
        <f t="shared" si="1"/>
        <v>8836.2640275691447</v>
      </c>
      <c r="J125" s="2559" t="s">
        <v>1068</v>
      </c>
      <c r="K125" s="2553">
        <v>2</v>
      </c>
      <c r="L125" s="2553">
        <v>4418.1320137845723</v>
      </c>
      <c r="M125" s="2553">
        <v>8836.2640275691447</v>
      </c>
    </row>
    <row r="126" spans="1:13" ht="25.5" x14ac:dyDescent="0.2">
      <c r="B126" s="2555"/>
      <c r="C126" s="2600" t="s">
        <v>180</v>
      </c>
      <c r="D126" s="2601" t="s">
        <v>498</v>
      </c>
      <c r="E126" s="2558" t="s">
        <v>1067</v>
      </c>
      <c r="F126" s="2553">
        <v>0</v>
      </c>
      <c r="G126" s="2553">
        <v>0</v>
      </c>
      <c r="H126" s="2551">
        <v>0</v>
      </c>
      <c r="I126" s="2551">
        <f t="shared" si="1"/>
        <v>22753.379870990546</v>
      </c>
      <c r="J126" s="2559" t="s">
        <v>1067</v>
      </c>
      <c r="K126" s="2553">
        <v>3</v>
      </c>
      <c r="L126" s="2553">
        <v>7584.4599569968495</v>
      </c>
      <c r="M126" s="2553">
        <v>22753.379870990546</v>
      </c>
    </row>
    <row r="127" spans="1:13" ht="38.25" x14ac:dyDescent="0.2">
      <c r="B127" s="2555"/>
      <c r="C127" s="2600" t="s">
        <v>984</v>
      </c>
      <c r="D127" s="2601" t="s">
        <v>679</v>
      </c>
      <c r="E127" s="2558" t="s">
        <v>993</v>
      </c>
      <c r="F127" s="2553">
        <v>0</v>
      </c>
      <c r="G127" s="2553">
        <v>0</v>
      </c>
      <c r="H127" s="2551">
        <v>0</v>
      </c>
      <c r="I127" s="2551">
        <f t="shared" si="1"/>
        <v>9852.434390739596</v>
      </c>
      <c r="J127" s="2559" t="s">
        <v>993</v>
      </c>
      <c r="K127" s="2553">
        <v>45</v>
      </c>
      <c r="L127" s="2553">
        <v>218.94298646087989</v>
      </c>
      <c r="M127" s="2553">
        <v>9852.434390739596</v>
      </c>
    </row>
    <row r="128" spans="1:13" ht="38.25" x14ac:dyDescent="0.2">
      <c r="B128" s="2555"/>
      <c r="C128" s="2600" t="s">
        <v>499</v>
      </c>
      <c r="D128" s="2601" t="s">
        <v>868</v>
      </c>
      <c r="E128" s="2558" t="s">
        <v>1013</v>
      </c>
      <c r="F128" s="2553">
        <v>3</v>
      </c>
      <c r="G128" s="2553">
        <v>19174.751848251897</v>
      </c>
      <c r="H128" s="2551">
        <v>57524.255544755688</v>
      </c>
      <c r="I128" s="2551">
        <f t="shared" si="1"/>
        <v>-7605.5491738093187</v>
      </c>
      <c r="J128" s="2559" t="s">
        <v>1013</v>
      </c>
      <c r="K128" s="2553">
        <v>4</v>
      </c>
      <c r="L128" s="2553">
        <v>12479.676592736592</v>
      </c>
      <c r="M128" s="2553">
        <v>49918.706370946369</v>
      </c>
    </row>
    <row r="129" spans="1:13" ht="38.25" x14ac:dyDescent="0.2">
      <c r="B129" s="2555"/>
      <c r="C129" s="2600" t="s">
        <v>500</v>
      </c>
      <c r="D129" s="2601" t="s">
        <v>863</v>
      </c>
      <c r="E129" s="2558" t="s">
        <v>1070</v>
      </c>
      <c r="F129" s="2553"/>
      <c r="G129" s="2553">
        <v>0</v>
      </c>
      <c r="H129" s="2551">
        <v>0</v>
      </c>
      <c r="I129" s="2551">
        <f t="shared" si="1"/>
        <v>38182.38048952903</v>
      </c>
      <c r="J129" s="2559" t="s">
        <v>1070</v>
      </c>
      <c r="K129" s="2553">
        <v>2</v>
      </c>
      <c r="L129" s="2553">
        <v>19091.190244764515</v>
      </c>
      <c r="M129" s="2553">
        <v>38182.38048952903</v>
      </c>
    </row>
    <row r="130" spans="1:13" ht="38.25" x14ac:dyDescent="0.2">
      <c r="B130" s="2555"/>
      <c r="C130" s="2600" t="s">
        <v>501</v>
      </c>
      <c r="D130" s="2601" t="s">
        <v>982</v>
      </c>
      <c r="E130" s="2558" t="s">
        <v>1007</v>
      </c>
      <c r="F130" s="2553">
        <v>70</v>
      </c>
      <c r="G130" s="2553">
        <v>126.23234325098778</v>
      </c>
      <c r="H130" s="2551">
        <v>8836.2640275691447</v>
      </c>
      <c r="I130" s="2551">
        <f t="shared" si="1"/>
        <v>-4683.2199346116467</v>
      </c>
      <c r="J130" s="2559" t="s">
        <v>1007</v>
      </c>
      <c r="K130" s="2553">
        <v>50</v>
      </c>
      <c r="L130" s="2553">
        <v>83.060881859149958</v>
      </c>
      <c r="M130" s="2553">
        <v>4153.0440929574979</v>
      </c>
    </row>
    <row r="131" spans="1:13" ht="38.25" x14ac:dyDescent="0.2">
      <c r="B131" s="2555"/>
      <c r="C131" s="2600" t="s">
        <v>503</v>
      </c>
      <c r="D131" s="2601" t="s">
        <v>864</v>
      </c>
      <c r="E131" s="2558" t="s">
        <v>992</v>
      </c>
      <c r="F131" s="2553">
        <v>0</v>
      </c>
      <c r="G131" s="2553">
        <v>0</v>
      </c>
      <c r="H131" s="2551">
        <v>0</v>
      </c>
      <c r="I131" s="2551">
        <f t="shared" si="1"/>
        <v>39763.188124061147</v>
      </c>
      <c r="J131" s="2559" t="s">
        <v>992</v>
      </c>
      <c r="K131" s="2553">
        <v>2</v>
      </c>
      <c r="L131" s="2553">
        <v>19881.594062030574</v>
      </c>
      <c r="M131" s="2553">
        <v>39763.188124061147</v>
      </c>
    </row>
    <row r="132" spans="1:13" ht="51" x14ac:dyDescent="0.2">
      <c r="B132" s="2555"/>
      <c r="C132" s="2600" t="s">
        <v>552</v>
      </c>
      <c r="D132" s="2601" t="s">
        <v>181</v>
      </c>
      <c r="E132" s="2558"/>
      <c r="F132" s="2553">
        <v>300</v>
      </c>
      <c r="G132" s="2553">
        <v>71.868280757562374</v>
      </c>
      <c r="H132" s="2551">
        <v>21560.484227268713</v>
      </c>
      <c r="I132" s="2551">
        <f t="shared" si="1"/>
        <v>-21560.484227268713</v>
      </c>
      <c r="J132" s="2559"/>
      <c r="K132" s="2553">
        <v>0</v>
      </c>
      <c r="L132" s="2553">
        <v>0</v>
      </c>
      <c r="M132" s="2553">
        <v>0</v>
      </c>
    </row>
    <row r="133" spans="1:13" ht="25.5" x14ac:dyDescent="0.2">
      <c r="B133" s="2555"/>
      <c r="C133" s="2600" t="s">
        <v>504</v>
      </c>
      <c r="D133" s="2601" t="s">
        <v>983</v>
      </c>
      <c r="E133" s="2558" t="s">
        <v>1071</v>
      </c>
      <c r="F133" s="2553">
        <v>0</v>
      </c>
      <c r="G133" s="2553">
        <v>0</v>
      </c>
      <c r="H133" s="2551">
        <v>0</v>
      </c>
      <c r="I133" s="2551">
        <f t="shared" si="1"/>
        <v>4418.1320137845723</v>
      </c>
      <c r="J133" s="2559" t="s">
        <v>1071</v>
      </c>
      <c r="K133" s="2553">
        <v>1000</v>
      </c>
      <c r="L133" s="2553">
        <v>4.4181320137845725</v>
      </c>
      <c r="M133" s="2553">
        <v>4418.1320137845723</v>
      </c>
    </row>
    <row r="134" spans="1:13" ht="38.25" x14ac:dyDescent="0.2">
      <c r="B134" s="2555"/>
      <c r="C134" s="2600" t="s">
        <v>505</v>
      </c>
      <c r="D134" s="2601" t="s">
        <v>506</v>
      </c>
      <c r="E134" s="2558" t="s">
        <v>1013</v>
      </c>
      <c r="F134" s="2553">
        <v>0</v>
      </c>
      <c r="G134" s="2553">
        <v>0</v>
      </c>
      <c r="H134" s="2551">
        <v>0</v>
      </c>
      <c r="I134" s="2551">
        <f t="shared" si="1"/>
        <v>16594.503843774852</v>
      </c>
      <c r="J134" s="2559" t="s">
        <v>1013</v>
      </c>
      <c r="K134" s="2553">
        <v>4</v>
      </c>
      <c r="L134" s="2553">
        <v>4148.6259609437129</v>
      </c>
      <c r="M134" s="2553">
        <v>16594.503843774852</v>
      </c>
    </row>
    <row r="135" spans="1:13" ht="25.5" x14ac:dyDescent="0.2">
      <c r="B135" s="2555"/>
      <c r="C135" s="2600" t="s">
        <v>507</v>
      </c>
      <c r="D135" s="2601" t="s">
        <v>744</v>
      </c>
      <c r="E135" s="2558" t="s">
        <v>1013</v>
      </c>
      <c r="F135" s="2553">
        <v>0</v>
      </c>
      <c r="G135" s="2553">
        <v>0</v>
      </c>
      <c r="H135" s="2551">
        <v>0</v>
      </c>
      <c r="I135" s="2551">
        <f t="shared" si="1"/>
        <v>11487.143235839887</v>
      </c>
      <c r="J135" s="2559" t="s">
        <v>1013</v>
      </c>
      <c r="K135" s="2553">
        <v>3</v>
      </c>
      <c r="L135" s="2553">
        <v>3829.0477452799623</v>
      </c>
      <c r="M135" s="2553">
        <v>11487.143235839887</v>
      </c>
    </row>
    <row r="136" spans="1:13" x14ac:dyDescent="0.2">
      <c r="B136" s="2555"/>
      <c r="C136" s="2600" t="s">
        <v>510</v>
      </c>
      <c r="D136" s="2601" t="s">
        <v>743</v>
      </c>
      <c r="E136" s="2558" t="s">
        <v>1013</v>
      </c>
      <c r="F136" s="2553">
        <v>0</v>
      </c>
      <c r="G136" s="2553">
        <v>0</v>
      </c>
      <c r="H136" s="2551">
        <v>0</v>
      </c>
      <c r="I136" s="2551">
        <f t="shared" ref="I136:I199" si="2">+M136-H136</f>
        <v>28470.442696827784</v>
      </c>
      <c r="J136" s="2559" t="s">
        <v>1013</v>
      </c>
      <c r="K136" s="2553">
        <v>4</v>
      </c>
      <c r="L136" s="2553">
        <v>7117.610674206946</v>
      </c>
      <c r="M136" s="2553">
        <v>28470.442696827784</v>
      </c>
    </row>
    <row r="137" spans="1:13" ht="24" customHeight="1" x14ac:dyDescent="0.2">
      <c r="B137" s="2555"/>
      <c r="C137" s="2600" t="s">
        <v>570</v>
      </c>
      <c r="D137" s="2601" t="s">
        <v>684</v>
      </c>
      <c r="E137" s="2558"/>
      <c r="F137" s="2553">
        <v>0</v>
      </c>
      <c r="G137" s="2553">
        <v>0</v>
      </c>
      <c r="H137" s="2551">
        <v>0</v>
      </c>
      <c r="I137" s="2551">
        <f t="shared" si="2"/>
        <v>0</v>
      </c>
      <c r="J137" s="2559"/>
      <c r="K137" s="2553">
        <v>0</v>
      </c>
      <c r="L137" s="2553">
        <v>0</v>
      </c>
      <c r="M137" s="2553">
        <v>0</v>
      </c>
    </row>
    <row r="138" spans="1:13" ht="25.5" x14ac:dyDescent="0.2">
      <c r="B138" s="2555"/>
      <c r="C138" s="2600" t="s">
        <v>511</v>
      </c>
      <c r="D138" s="2601" t="s">
        <v>742</v>
      </c>
      <c r="E138" s="2558" t="s">
        <v>1011</v>
      </c>
      <c r="F138" s="2553">
        <v>0</v>
      </c>
      <c r="G138" s="2553">
        <v>0</v>
      </c>
      <c r="H138" s="2551">
        <v>0</v>
      </c>
      <c r="I138" s="2551">
        <f t="shared" si="2"/>
        <v>54130.953432888578</v>
      </c>
      <c r="J138" s="2559" t="s">
        <v>1011</v>
      </c>
      <c r="K138" s="2553">
        <v>24</v>
      </c>
      <c r="L138" s="2553">
        <v>2255.4563930370241</v>
      </c>
      <c r="M138" s="2553">
        <v>54130.953432888578</v>
      </c>
    </row>
    <row r="139" spans="1:13" ht="13.5" thickBot="1" x14ac:dyDescent="0.25">
      <c r="B139" s="2555"/>
      <c r="C139" s="2600"/>
      <c r="D139" s="2601"/>
      <c r="E139" s="2558"/>
      <c r="F139" s="2553"/>
      <c r="G139" s="2553"/>
      <c r="H139" s="2551"/>
      <c r="I139" s="2551">
        <f t="shared" si="2"/>
        <v>0</v>
      </c>
      <c r="J139" s="2559"/>
      <c r="K139" s="2553"/>
      <c r="L139" s="2553"/>
      <c r="M139" s="2553"/>
    </row>
    <row r="140" spans="1:13" s="2571" customFormat="1" ht="25.5" customHeight="1" thickBot="1" x14ac:dyDescent="0.3">
      <c r="B140" s="2590" t="s">
        <v>45</v>
      </c>
      <c r="C140" s="2573"/>
      <c r="D140" s="2574"/>
      <c r="E140" s="2574"/>
      <c r="F140" s="2574"/>
      <c r="G140" s="2574"/>
      <c r="H140" s="2575">
        <f>SUM(H114:H138)</f>
        <v>685614.73888839793</v>
      </c>
      <c r="I140" s="2575">
        <f t="shared" si="2"/>
        <v>178772.17460457725</v>
      </c>
      <c r="J140" s="2591"/>
      <c r="K140" s="2574"/>
      <c r="L140" s="2574"/>
      <c r="M140" s="2574">
        <f>SUM(M114:M138)</f>
        <v>864386.91349297517</v>
      </c>
    </row>
    <row r="141" spans="1:13" ht="13.5" thickBot="1" x14ac:dyDescent="0.25">
      <c r="B141" s="2586"/>
      <c r="C141" s="2613"/>
      <c r="D141" s="2569"/>
      <c r="E141" s="2558"/>
      <c r="F141" s="2553"/>
      <c r="G141" s="2553"/>
      <c r="I141" s="2549"/>
      <c r="J141" s="2559"/>
      <c r="K141" s="2553"/>
      <c r="L141" s="2553"/>
    </row>
    <row r="142" spans="1:13" ht="28.5" customHeight="1" x14ac:dyDescent="0.2">
      <c r="A142" s="2549"/>
      <c r="B142" s="2774" t="s">
        <v>185</v>
      </c>
      <c r="C142" s="2775"/>
      <c r="D142" s="2775"/>
      <c r="E142" s="2554"/>
      <c r="F142" s="2552"/>
      <c r="G142" s="2550"/>
      <c r="H142" s="2551"/>
      <c r="I142" s="2551"/>
      <c r="J142" s="2552"/>
      <c r="K142" s="2550"/>
      <c r="L142" s="2550"/>
      <c r="M142" s="2553"/>
    </row>
    <row r="143" spans="1:13" ht="25.5" x14ac:dyDescent="0.2">
      <c r="B143" s="2555"/>
      <c r="C143" s="2600" t="s">
        <v>186</v>
      </c>
      <c r="D143" s="2601" t="s">
        <v>187</v>
      </c>
      <c r="E143" s="2558" t="s">
        <v>993</v>
      </c>
      <c r="F143" s="2553">
        <v>40</v>
      </c>
      <c r="G143" s="2553">
        <v>1043.1209684545374</v>
      </c>
      <c r="H143" s="2551">
        <v>41724.838738181497</v>
      </c>
      <c r="I143" s="2551">
        <f t="shared" si="2"/>
        <v>14795.175399840948</v>
      </c>
      <c r="J143" s="2559" t="s">
        <v>993</v>
      </c>
      <c r="K143" s="2553">
        <v>45</v>
      </c>
      <c r="L143" s="2553">
        <v>1256.0003141782765</v>
      </c>
      <c r="M143" s="2553">
        <v>56520.014138022445</v>
      </c>
    </row>
    <row r="144" spans="1:13" ht="25.5" x14ac:dyDescent="0.2">
      <c r="B144" s="2555"/>
      <c r="C144" s="2600" t="s">
        <v>186</v>
      </c>
      <c r="D144" s="2601" t="s">
        <v>685</v>
      </c>
      <c r="E144" s="2558" t="s">
        <v>993</v>
      </c>
      <c r="F144" s="2553">
        <v>0</v>
      </c>
      <c r="G144" s="2553">
        <v>0</v>
      </c>
      <c r="H144" s="2551">
        <v>0</v>
      </c>
      <c r="I144" s="2551">
        <f t="shared" si="2"/>
        <v>4175.1347530264211</v>
      </c>
      <c r="J144" s="2559" t="s">
        <v>993</v>
      </c>
      <c r="K144" s="2553">
        <v>50</v>
      </c>
      <c r="L144" s="2553">
        <v>83.50269506052841</v>
      </c>
      <c r="M144" s="2553">
        <v>4175.1347530264211</v>
      </c>
    </row>
    <row r="145" spans="2:13" ht="38.25" x14ac:dyDescent="0.2">
      <c r="B145" s="2555"/>
      <c r="C145" s="2600" t="s">
        <v>189</v>
      </c>
      <c r="D145" s="2601" t="s">
        <v>190</v>
      </c>
      <c r="E145" s="2558" t="s">
        <v>1001</v>
      </c>
      <c r="F145" s="2553">
        <v>15</v>
      </c>
      <c r="G145" s="2553">
        <v>353.45056110276579</v>
      </c>
      <c r="H145" s="2551">
        <v>5301.7584165414864</v>
      </c>
      <c r="I145" s="2551">
        <f t="shared" si="2"/>
        <v>8312.3884421666535</v>
      </c>
      <c r="J145" s="2559" t="s">
        <v>1001</v>
      </c>
      <c r="K145" s="2553">
        <v>15</v>
      </c>
      <c r="L145" s="2553">
        <v>907.60979058054261</v>
      </c>
      <c r="M145" s="2553">
        <v>13614.14685870814</v>
      </c>
    </row>
    <row r="146" spans="2:13" ht="51" x14ac:dyDescent="0.2">
      <c r="B146" s="2555"/>
      <c r="C146" s="2600" t="s">
        <v>553</v>
      </c>
      <c r="D146" s="2601" t="s">
        <v>192</v>
      </c>
      <c r="E146" s="2558" t="s">
        <v>1014</v>
      </c>
      <c r="F146" s="2553">
        <v>800</v>
      </c>
      <c r="G146" s="2553">
        <v>7.0690112220553152</v>
      </c>
      <c r="H146" s="2551">
        <v>5655.2089776442526</v>
      </c>
      <c r="I146" s="2551">
        <f t="shared" si="2"/>
        <v>-5655.2089776442526</v>
      </c>
      <c r="J146" s="2559" t="s">
        <v>1014</v>
      </c>
      <c r="K146" s="2553">
        <v>0</v>
      </c>
      <c r="L146" s="2553">
        <v>0</v>
      </c>
      <c r="M146" s="2553">
        <v>0</v>
      </c>
    </row>
    <row r="147" spans="2:13" ht="38.25" x14ac:dyDescent="0.2">
      <c r="B147" s="2555"/>
      <c r="C147" s="2600" t="s">
        <v>194</v>
      </c>
      <c r="D147" s="2601" t="s">
        <v>554</v>
      </c>
      <c r="E147" s="2558" t="s">
        <v>1015</v>
      </c>
      <c r="F147" s="2553">
        <v>10</v>
      </c>
      <c r="G147" s="2553">
        <v>1811.4341256516745</v>
      </c>
      <c r="H147" s="2551">
        <v>18114.341256516745</v>
      </c>
      <c r="I147" s="2551">
        <f t="shared" si="2"/>
        <v>-5125.0331359901029</v>
      </c>
      <c r="J147" s="2559" t="s">
        <v>1015</v>
      </c>
      <c r="K147" s="2553">
        <v>10</v>
      </c>
      <c r="L147" s="2553">
        <v>1298.9308120526641</v>
      </c>
      <c r="M147" s="2553">
        <v>12989.308120526643</v>
      </c>
    </row>
    <row r="148" spans="2:13" ht="25.5" x14ac:dyDescent="0.2">
      <c r="B148" s="2555"/>
      <c r="C148" s="2600" t="s">
        <v>555</v>
      </c>
      <c r="D148" s="2601" t="s">
        <v>513</v>
      </c>
      <c r="E148" s="2558" t="s">
        <v>1072</v>
      </c>
      <c r="F148" s="2553">
        <v>3</v>
      </c>
      <c r="G148" s="2553">
        <v>7952.6376248122297</v>
      </c>
      <c r="H148" s="2551">
        <v>23857.91287443669</v>
      </c>
      <c r="I148" s="2551">
        <f t="shared" si="2"/>
        <v>-22355.747989749936</v>
      </c>
      <c r="J148" s="2559" t="s">
        <v>1072</v>
      </c>
      <c r="K148" s="2553">
        <v>200</v>
      </c>
      <c r="L148" s="2553">
        <v>7.5108244234337729</v>
      </c>
      <c r="M148" s="2553">
        <v>1502.1648846867545</v>
      </c>
    </row>
    <row r="149" spans="2:13" ht="25.5" x14ac:dyDescent="0.2">
      <c r="B149" s="2555"/>
      <c r="C149" s="2600" t="s">
        <v>197</v>
      </c>
      <c r="D149" s="2601" t="s">
        <v>556</v>
      </c>
      <c r="E149" s="2558" t="s">
        <v>1073</v>
      </c>
      <c r="F149" s="2553">
        <v>26</v>
      </c>
      <c r="G149" s="2553">
        <v>706.90112220553158</v>
      </c>
      <c r="H149" s="2551">
        <v>18379.42917734382</v>
      </c>
      <c r="I149" s="2551">
        <f t="shared" si="2"/>
        <v>1348.5906158876023</v>
      </c>
      <c r="J149" s="2559" t="s">
        <v>1073</v>
      </c>
      <c r="K149" s="2553">
        <v>26</v>
      </c>
      <c r="L149" s="2553">
        <v>758.76999204736251</v>
      </c>
      <c r="M149" s="2553">
        <v>19728.019793231422</v>
      </c>
    </row>
    <row r="150" spans="2:13" ht="25.5" x14ac:dyDescent="0.2">
      <c r="B150" s="2555"/>
      <c r="C150" s="2600" t="s">
        <v>514</v>
      </c>
      <c r="D150" s="2601" t="s">
        <v>557</v>
      </c>
      <c r="E150" s="2558" t="s">
        <v>1073</v>
      </c>
      <c r="F150" s="2553">
        <v>6</v>
      </c>
      <c r="G150" s="2553">
        <v>2209.0660068922862</v>
      </c>
      <c r="H150" s="2551">
        <v>13254.396041353717</v>
      </c>
      <c r="I150" s="2551">
        <f t="shared" si="2"/>
        <v>-11292.745427233367</v>
      </c>
      <c r="J150" s="2559" t="s">
        <v>1073</v>
      </c>
      <c r="K150" s="2553">
        <v>6</v>
      </c>
      <c r="L150" s="2553">
        <v>326.94176902005836</v>
      </c>
      <c r="M150" s="2553">
        <v>1961.6506141203499</v>
      </c>
    </row>
    <row r="151" spans="2:13" x14ac:dyDescent="0.2">
      <c r="B151" s="2555"/>
      <c r="C151" s="2600" t="s">
        <v>515</v>
      </c>
      <c r="D151" s="2601" t="s">
        <v>516</v>
      </c>
      <c r="E151" s="2558" t="s">
        <v>1074</v>
      </c>
      <c r="F151" s="2553">
        <v>0</v>
      </c>
      <c r="G151" s="2553">
        <v>0</v>
      </c>
      <c r="H151" s="2551">
        <v>0</v>
      </c>
      <c r="I151" s="2551">
        <f t="shared" si="2"/>
        <v>4506.4946540602632</v>
      </c>
      <c r="J151" s="2559" t="s">
        <v>1074</v>
      </c>
      <c r="K151" s="2553">
        <v>2</v>
      </c>
      <c r="L151" s="2553">
        <v>2253.2473270301316</v>
      </c>
      <c r="M151" s="2553">
        <v>4506.4946540602632</v>
      </c>
    </row>
    <row r="152" spans="2:13" ht="38.25" x14ac:dyDescent="0.2">
      <c r="B152" s="2555"/>
      <c r="C152" s="2600" t="s">
        <v>200</v>
      </c>
      <c r="D152" s="2601" t="s">
        <v>904</v>
      </c>
      <c r="E152" s="2558" t="s">
        <v>1015</v>
      </c>
      <c r="F152" s="2553">
        <v>15</v>
      </c>
      <c r="G152" s="2553">
        <v>1988.1594062030574</v>
      </c>
      <c r="H152" s="2551">
        <v>29822.391093045862</v>
      </c>
      <c r="I152" s="2551">
        <f t="shared" si="2"/>
        <v>-12149.863037907573</v>
      </c>
      <c r="J152" s="2559" t="s">
        <v>1015</v>
      </c>
      <c r="K152" s="2553">
        <v>12</v>
      </c>
      <c r="L152" s="2553">
        <v>1472.7106712615241</v>
      </c>
      <c r="M152" s="2553">
        <v>17672.528055138289</v>
      </c>
    </row>
    <row r="153" spans="2:13" ht="25.5" x14ac:dyDescent="0.2">
      <c r="B153" s="2555"/>
      <c r="C153" s="2600" t="s">
        <v>559</v>
      </c>
      <c r="D153" s="2601" t="s">
        <v>203</v>
      </c>
      <c r="E153" s="2558" t="s">
        <v>993</v>
      </c>
      <c r="F153" s="2553">
        <v>12</v>
      </c>
      <c r="G153" s="2553">
        <v>1601.9410326647228</v>
      </c>
      <c r="H153" s="2551">
        <v>19223.292391976673</v>
      </c>
      <c r="I153" s="2551">
        <f t="shared" si="2"/>
        <v>-19223.292391976673</v>
      </c>
      <c r="J153" s="2559" t="s">
        <v>993</v>
      </c>
      <c r="K153" s="2553">
        <v>0</v>
      </c>
      <c r="L153" s="2553">
        <v>0</v>
      </c>
      <c r="M153" s="2553">
        <v>0</v>
      </c>
    </row>
    <row r="154" spans="2:13" ht="25.5" x14ac:dyDescent="0.2">
      <c r="B154" s="2555"/>
      <c r="C154" s="2600" t="s">
        <v>205</v>
      </c>
      <c r="D154" s="2601" t="s">
        <v>686</v>
      </c>
      <c r="E154" s="2558" t="s">
        <v>1013</v>
      </c>
      <c r="F154" s="2553">
        <v>3</v>
      </c>
      <c r="G154" s="2553">
        <v>4712.6741480368764</v>
      </c>
      <c r="H154" s="2551">
        <v>14138.022444110631</v>
      </c>
      <c r="I154" s="2551">
        <f t="shared" si="2"/>
        <v>8347.0884510029191</v>
      </c>
      <c r="J154" s="2559" t="s">
        <v>1013</v>
      </c>
      <c r="K154" s="2553">
        <v>4</v>
      </c>
      <c r="L154" s="2553">
        <v>5621.2777237783876</v>
      </c>
      <c r="M154" s="2553">
        <v>22485.11089511355</v>
      </c>
    </row>
    <row r="155" spans="2:13" x14ac:dyDescent="0.2">
      <c r="B155" s="2555"/>
      <c r="C155" s="2600" t="s">
        <v>518</v>
      </c>
      <c r="D155" s="2601" t="s">
        <v>519</v>
      </c>
      <c r="E155" s="2558" t="s">
        <v>1013</v>
      </c>
      <c r="F155" s="2553">
        <v>0</v>
      </c>
      <c r="G155" s="2553">
        <v>0</v>
      </c>
      <c r="H155" s="2551">
        <v>0</v>
      </c>
      <c r="I155" s="2551">
        <f t="shared" si="2"/>
        <v>3622.8682513033491</v>
      </c>
      <c r="J155" s="2559" t="s">
        <v>1013</v>
      </c>
      <c r="K155" s="2553">
        <v>1</v>
      </c>
      <c r="L155" s="2553">
        <v>3622.8682513033491</v>
      </c>
      <c r="M155" s="2553">
        <v>3622.8682513033491</v>
      </c>
    </row>
    <row r="156" spans="2:13" ht="38.25" x14ac:dyDescent="0.2">
      <c r="B156" s="2555"/>
      <c r="C156" s="2600" t="s">
        <v>687</v>
      </c>
      <c r="D156" s="2601" t="s">
        <v>688</v>
      </c>
      <c r="E156" s="2558" t="s">
        <v>993</v>
      </c>
      <c r="F156" s="2553">
        <v>0</v>
      </c>
      <c r="G156" s="2553">
        <v>0</v>
      </c>
      <c r="H156" s="2551">
        <v>0</v>
      </c>
      <c r="I156" s="2551">
        <f t="shared" si="2"/>
        <v>4241.4067332331897</v>
      </c>
      <c r="J156" s="2559" t="s">
        <v>993</v>
      </c>
      <c r="K156" s="2553">
        <v>60</v>
      </c>
      <c r="L156" s="2553">
        <v>70.690112220553161</v>
      </c>
      <c r="M156" s="2553">
        <v>4241.4067332331897</v>
      </c>
    </row>
    <row r="157" spans="2:13" ht="25.5" x14ac:dyDescent="0.2">
      <c r="B157" s="2555"/>
      <c r="C157" s="2600" t="s">
        <v>520</v>
      </c>
      <c r="D157" s="2601" t="s">
        <v>521</v>
      </c>
      <c r="E157" s="2558"/>
      <c r="F157" s="2553">
        <v>0</v>
      </c>
      <c r="G157" s="2553">
        <v>0</v>
      </c>
      <c r="H157" s="2551">
        <v>0</v>
      </c>
      <c r="I157" s="2551">
        <f t="shared" si="2"/>
        <v>0</v>
      </c>
      <c r="J157" s="2559"/>
      <c r="K157" s="2553">
        <v>0</v>
      </c>
      <c r="L157" s="2553">
        <v>0</v>
      </c>
      <c r="M157" s="2553">
        <v>0</v>
      </c>
    </row>
    <row r="158" spans="2:13" ht="25.5" x14ac:dyDescent="0.2">
      <c r="B158" s="2555"/>
      <c r="C158" s="2600" t="s">
        <v>692</v>
      </c>
      <c r="D158" s="2601" t="s">
        <v>690</v>
      </c>
      <c r="E158" s="2558"/>
      <c r="F158" s="2553">
        <v>0</v>
      </c>
      <c r="G158" s="2553">
        <v>0</v>
      </c>
      <c r="H158" s="2551">
        <v>0</v>
      </c>
      <c r="I158" s="2551">
        <f t="shared" si="2"/>
        <v>0</v>
      </c>
      <c r="J158" s="2559"/>
      <c r="K158" s="2553">
        <v>0</v>
      </c>
      <c r="L158" s="2553">
        <v>0</v>
      </c>
      <c r="M158" s="2553">
        <v>0</v>
      </c>
    </row>
    <row r="159" spans="2:13" ht="38.25" x14ac:dyDescent="0.2">
      <c r="B159" s="2555"/>
      <c r="C159" s="2600" t="s">
        <v>207</v>
      </c>
      <c r="D159" s="2601" t="s">
        <v>208</v>
      </c>
      <c r="E159" s="2558" t="s">
        <v>1000</v>
      </c>
      <c r="F159" s="2553">
        <v>10</v>
      </c>
      <c r="G159" s="2553">
        <v>353.45056110276579</v>
      </c>
      <c r="H159" s="2551">
        <v>3534.5056110276578</v>
      </c>
      <c r="I159" s="2551">
        <f t="shared" si="2"/>
        <v>3534.5056110276578</v>
      </c>
      <c r="J159" s="2559" t="s">
        <v>1000</v>
      </c>
      <c r="K159" s="2553">
        <v>1</v>
      </c>
      <c r="L159" s="2553">
        <v>7069.0112220553156</v>
      </c>
      <c r="M159" s="2553">
        <v>7069.0112220553156</v>
      </c>
    </row>
    <row r="160" spans="2:13" ht="38.25" x14ac:dyDescent="0.2">
      <c r="B160" s="2555"/>
      <c r="C160" s="2600" t="s">
        <v>560</v>
      </c>
      <c r="D160" s="2601" t="s">
        <v>210</v>
      </c>
      <c r="E160" s="2558"/>
      <c r="F160" s="2553">
        <v>8</v>
      </c>
      <c r="G160" s="2553">
        <v>353.45056110276579</v>
      </c>
      <c r="H160" s="2551">
        <v>2827.6044888221263</v>
      </c>
      <c r="I160" s="2551">
        <f t="shared" si="2"/>
        <v>-2827.6044888221263</v>
      </c>
      <c r="J160" s="2559"/>
      <c r="K160" s="2553">
        <v>0</v>
      </c>
      <c r="L160" s="2553">
        <v>0</v>
      </c>
      <c r="M160" s="2553">
        <v>0</v>
      </c>
    </row>
    <row r="161" spans="2:13" ht="25.5" x14ac:dyDescent="0.2">
      <c r="B161" s="2555"/>
      <c r="C161" s="2600" t="s">
        <v>561</v>
      </c>
      <c r="D161" s="2601" t="s">
        <v>212</v>
      </c>
      <c r="E161" s="2558"/>
      <c r="F161" s="2553">
        <v>5</v>
      </c>
      <c r="G161" s="2553">
        <v>353.45056110276579</v>
      </c>
      <c r="H161" s="2551">
        <v>1767.2528055138289</v>
      </c>
      <c r="I161" s="2551">
        <f t="shared" si="2"/>
        <v>-1767.2528055138289</v>
      </c>
      <c r="J161" s="2559"/>
      <c r="K161" s="2553"/>
      <c r="L161" s="2553"/>
      <c r="M161" s="2553">
        <v>0</v>
      </c>
    </row>
    <row r="162" spans="2:13" ht="38.25" x14ac:dyDescent="0.2">
      <c r="B162" s="2555"/>
      <c r="C162" s="2600" t="s">
        <v>214</v>
      </c>
      <c r="D162" s="2601" t="s">
        <v>215</v>
      </c>
      <c r="E162" s="2558" t="s">
        <v>993</v>
      </c>
      <c r="F162" s="2553">
        <v>3</v>
      </c>
      <c r="G162" s="2553">
        <v>22192.277105239908</v>
      </c>
      <c r="H162" s="2551">
        <v>66576.831315719712</v>
      </c>
      <c r="I162" s="2551">
        <f t="shared" si="2"/>
        <v>43743.925068481054</v>
      </c>
      <c r="J162" s="2559" t="s">
        <v>993</v>
      </c>
      <c r="K162" s="2553">
        <v>50</v>
      </c>
      <c r="L162" s="2553">
        <v>2206.4151276840153</v>
      </c>
      <c r="M162" s="2553">
        <v>110320.75638420077</v>
      </c>
    </row>
    <row r="163" spans="2:13" ht="25.5" x14ac:dyDescent="0.2">
      <c r="B163" s="2555"/>
      <c r="C163" s="2600" t="s">
        <v>217</v>
      </c>
      <c r="D163" s="2601" t="s">
        <v>218</v>
      </c>
      <c r="E163" s="2558" t="s">
        <v>1000</v>
      </c>
      <c r="F163" s="2553">
        <v>50</v>
      </c>
      <c r="G163" s="2553">
        <v>353.45056110276579</v>
      </c>
      <c r="H163" s="2551">
        <v>17672.528055138289</v>
      </c>
      <c r="I163" s="2551">
        <f t="shared" si="2"/>
        <v>19263.055580100736</v>
      </c>
      <c r="J163" s="2559" t="s">
        <v>1000</v>
      </c>
      <c r="K163" s="2553">
        <v>50</v>
      </c>
      <c r="L163" s="2553">
        <v>738.71167270478043</v>
      </c>
      <c r="M163" s="2553">
        <v>36935.583635239025</v>
      </c>
    </row>
    <row r="164" spans="2:13" ht="25.5" x14ac:dyDescent="0.2">
      <c r="B164" s="2555"/>
      <c r="C164" s="2600" t="s">
        <v>523</v>
      </c>
      <c r="D164" s="2601" t="s">
        <v>524</v>
      </c>
      <c r="E164" s="2558" t="s">
        <v>993</v>
      </c>
      <c r="F164" s="2553">
        <v>0</v>
      </c>
      <c r="G164" s="2553">
        <v>0</v>
      </c>
      <c r="H164" s="2551">
        <v>0</v>
      </c>
      <c r="I164" s="2551">
        <f t="shared" si="2"/>
        <v>15905.275249624459</v>
      </c>
      <c r="J164" s="2559" t="s">
        <v>993</v>
      </c>
      <c r="K164" s="2553">
        <v>26</v>
      </c>
      <c r="L164" s="2553">
        <v>611.74135575478692</v>
      </c>
      <c r="M164" s="2553">
        <v>15905.275249624459</v>
      </c>
    </row>
    <row r="165" spans="2:13" ht="38.25" x14ac:dyDescent="0.2">
      <c r="B165" s="2555"/>
      <c r="C165" s="2600" t="s">
        <v>526</v>
      </c>
      <c r="D165" s="2601" t="s">
        <v>527</v>
      </c>
      <c r="E165" s="2558" t="s">
        <v>1001</v>
      </c>
      <c r="F165" s="2553">
        <v>0</v>
      </c>
      <c r="G165" s="2553">
        <v>0</v>
      </c>
      <c r="H165" s="2551">
        <v>0</v>
      </c>
      <c r="I165" s="2551">
        <f t="shared" si="2"/>
        <v>4506.4946540602632</v>
      </c>
      <c r="J165" s="2559" t="s">
        <v>1001</v>
      </c>
      <c r="K165" s="2553">
        <v>10</v>
      </c>
      <c r="L165" s="2553">
        <v>450.64946540602637</v>
      </c>
      <c r="M165" s="2553">
        <v>4506.4946540602632</v>
      </c>
    </row>
    <row r="166" spans="2:13" ht="25.5" x14ac:dyDescent="0.2">
      <c r="B166" s="2555"/>
      <c r="C166" s="2600" t="s">
        <v>529</v>
      </c>
      <c r="D166" s="2601" t="s">
        <v>530</v>
      </c>
      <c r="E166" s="2558" t="s">
        <v>1075</v>
      </c>
      <c r="F166" s="2553">
        <v>0</v>
      </c>
      <c r="G166" s="2553">
        <v>0</v>
      </c>
      <c r="H166" s="2551">
        <v>0</v>
      </c>
      <c r="I166" s="2551">
        <f t="shared" si="2"/>
        <v>62328.249536096147</v>
      </c>
      <c r="J166" s="2559" t="s">
        <v>1075</v>
      </c>
      <c r="K166" s="2553">
        <v>2</v>
      </c>
      <c r="L166" s="2553">
        <v>31164.124768048074</v>
      </c>
      <c r="M166" s="2553">
        <v>62328.249536096147</v>
      </c>
    </row>
    <row r="167" spans="2:13" ht="25.5" x14ac:dyDescent="0.2">
      <c r="B167" s="2555"/>
      <c r="C167" s="2600" t="s">
        <v>220</v>
      </c>
      <c r="D167" s="2601" t="s">
        <v>905</v>
      </c>
      <c r="E167" s="2558" t="s">
        <v>993</v>
      </c>
      <c r="F167" s="2553">
        <v>40</v>
      </c>
      <c r="G167" s="2553">
        <v>560.99231245029603</v>
      </c>
      <c r="H167" s="2551">
        <v>22439.692498011842</v>
      </c>
      <c r="I167" s="2551">
        <f t="shared" si="2"/>
        <v>13700.627374745956</v>
      </c>
      <c r="J167" s="2559" t="s">
        <v>993</v>
      </c>
      <c r="K167" s="2553">
        <v>45</v>
      </c>
      <c r="L167" s="2553">
        <v>803.11821939461777</v>
      </c>
      <c r="M167" s="2553">
        <v>36140.319872757798</v>
      </c>
    </row>
    <row r="168" spans="2:13" ht="25.5" x14ac:dyDescent="0.2">
      <c r="B168" s="2555"/>
      <c r="C168" s="2600" t="s">
        <v>223</v>
      </c>
      <c r="D168" s="2601" t="s">
        <v>562</v>
      </c>
      <c r="E168" s="2558" t="s">
        <v>993</v>
      </c>
      <c r="F168" s="2553">
        <v>100</v>
      </c>
      <c r="G168" s="2553">
        <v>555.80100733409915</v>
      </c>
      <c r="H168" s="2551">
        <v>55580.100733409919</v>
      </c>
      <c r="I168" s="2551">
        <f t="shared" si="2"/>
        <v>29141.998762923038</v>
      </c>
      <c r="J168" s="2559" t="s">
        <v>993</v>
      </c>
      <c r="K168" s="2553">
        <v>150</v>
      </c>
      <c r="L168" s="2553">
        <v>564.81399664221976</v>
      </c>
      <c r="M168" s="2553">
        <v>84722.099496332958</v>
      </c>
    </row>
    <row r="169" spans="2:13" ht="25.5" x14ac:dyDescent="0.2">
      <c r="B169" s="2555"/>
      <c r="C169" s="2600" t="s">
        <v>225</v>
      </c>
      <c r="D169" s="2601" t="s">
        <v>226</v>
      </c>
      <c r="E169" s="2558" t="s">
        <v>1007</v>
      </c>
      <c r="F169" s="2553">
        <v>6</v>
      </c>
      <c r="G169" s="2553">
        <v>8506.3768372065624</v>
      </c>
      <c r="H169" s="2551">
        <v>51038.261023239378</v>
      </c>
      <c r="I169" s="2551">
        <f t="shared" si="2"/>
        <v>-11716.886100556687</v>
      </c>
      <c r="J169" s="2559" t="s">
        <v>1007</v>
      </c>
      <c r="K169" s="2553">
        <v>6</v>
      </c>
      <c r="L169" s="2553">
        <v>6553.5624871137825</v>
      </c>
      <c r="M169" s="2553">
        <v>39321.374922682691</v>
      </c>
    </row>
    <row r="170" spans="2:13" ht="51" x14ac:dyDescent="0.2">
      <c r="B170" s="2555"/>
      <c r="C170" s="2600" t="s">
        <v>227</v>
      </c>
      <c r="D170" s="2601" t="s">
        <v>228</v>
      </c>
      <c r="E170" s="2558" t="s">
        <v>1001</v>
      </c>
      <c r="F170" s="2553">
        <v>10</v>
      </c>
      <c r="G170" s="2553">
        <v>353.45056110276579</v>
      </c>
      <c r="H170" s="2551">
        <v>3534.5056110276578</v>
      </c>
      <c r="I170" s="2551">
        <f t="shared" si="2"/>
        <v>7157.3738623310055</v>
      </c>
      <c r="J170" s="2559" t="s">
        <v>1001</v>
      </c>
      <c r="K170" s="2553">
        <v>30</v>
      </c>
      <c r="L170" s="2553">
        <v>356.39598244528878</v>
      </c>
      <c r="M170" s="2553">
        <v>10691.879473358664</v>
      </c>
    </row>
    <row r="171" spans="2:13" ht="51" x14ac:dyDescent="0.2">
      <c r="B171" s="2555"/>
      <c r="C171" s="2600" t="s">
        <v>230</v>
      </c>
      <c r="D171" s="2601" t="s">
        <v>741</v>
      </c>
      <c r="E171" s="2558" t="s">
        <v>1019</v>
      </c>
      <c r="F171" s="2553">
        <v>3</v>
      </c>
      <c r="G171" s="2553">
        <v>16612.176371829992</v>
      </c>
      <c r="H171" s="2551">
        <v>49836.529115489975</v>
      </c>
      <c r="I171" s="2551">
        <f t="shared" si="2"/>
        <v>65388.353804011669</v>
      </c>
      <c r="J171" s="2559" t="s">
        <v>1019</v>
      </c>
      <c r="K171" s="2553">
        <v>6</v>
      </c>
      <c r="L171" s="2553">
        <v>19204.147153250273</v>
      </c>
      <c r="M171" s="2553">
        <v>115224.88291950164</v>
      </c>
    </row>
    <row r="172" spans="2:13" ht="38.25" x14ac:dyDescent="0.2">
      <c r="B172" s="2555"/>
      <c r="C172" s="2600" t="s">
        <v>233</v>
      </c>
      <c r="D172" s="2601" t="s">
        <v>563</v>
      </c>
      <c r="E172" s="2558" t="s">
        <v>1007</v>
      </c>
      <c r="F172" s="2553">
        <v>5</v>
      </c>
      <c r="G172" s="2553">
        <v>7528.4969514889108</v>
      </c>
      <c r="H172" s="2551">
        <v>37642.484757444552</v>
      </c>
      <c r="I172" s="2551">
        <f t="shared" si="2"/>
        <v>15463.462048246009</v>
      </c>
      <c r="J172" s="2559" t="s">
        <v>1007</v>
      </c>
      <c r="K172" s="2553">
        <v>6</v>
      </c>
      <c r="L172" s="2553">
        <v>8850.9911342817595</v>
      </c>
      <c r="M172" s="2553">
        <v>53105.946805690561</v>
      </c>
    </row>
    <row r="173" spans="2:13" ht="25.5" x14ac:dyDescent="0.2">
      <c r="B173" s="2555"/>
      <c r="C173" s="2600" t="s">
        <v>531</v>
      </c>
      <c r="D173" s="2601" t="s">
        <v>532</v>
      </c>
      <c r="E173" s="2558"/>
      <c r="F173" s="2553">
        <v>0</v>
      </c>
      <c r="G173" s="2553">
        <v>0</v>
      </c>
      <c r="H173" s="2551">
        <v>0</v>
      </c>
      <c r="I173" s="2551">
        <f t="shared" si="2"/>
        <v>0</v>
      </c>
      <c r="J173" s="2559"/>
      <c r="K173" s="2553">
        <v>0</v>
      </c>
      <c r="L173" s="2553">
        <v>0</v>
      </c>
      <c r="M173" s="2553">
        <v>0</v>
      </c>
    </row>
    <row r="174" spans="2:13" ht="51" x14ac:dyDescent="0.2">
      <c r="B174" s="2555"/>
      <c r="C174" s="2600" t="s">
        <v>694</v>
      </c>
      <c r="D174" s="2601" t="s">
        <v>693</v>
      </c>
      <c r="E174" s="2558" t="s">
        <v>1008</v>
      </c>
      <c r="F174" s="2553">
        <v>0</v>
      </c>
      <c r="G174" s="2553">
        <v>0</v>
      </c>
      <c r="H174" s="2551">
        <v>0</v>
      </c>
      <c r="I174" s="2551">
        <f t="shared" si="2"/>
        <v>15286.73676769462</v>
      </c>
      <c r="J174" s="2559" t="s">
        <v>1008</v>
      </c>
      <c r="K174" s="2553">
        <v>15</v>
      </c>
      <c r="L174" s="2553">
        <v>1019.1157845129745</v>
      </c>
      <c r="M174" s="2553">
        <v>15286.73676769462</v>
      </c>
    </row>
    <row r="175" spans="2:13" ht="38.25" x14ac:dyDescent="0.2">
      <c r="B175" s="2555"/>
      <c r="C175" s="2600" t="s">
        <v>696</v>
      </c>
      <c r="D175" s="2601" t="s">
        <v>695</v>
      </c>
      <c r="E175" s="2558"/>
      <c r="F175" s="2553">
        <v>0</v>
      </c>
      <c r="G175" s="2553">
        <v>0</v>
      </c>
      <c r="H175" s="2551">
        <v>0</v>
      </c>
      <c r="I175" s="2551">
        <f t="shared" si="2"/>
        <v>0</v>
      </c>
      <c r="J175" s="2559"/>
      <c r="K175" s="2553">
        <v>0</v>
      </c>
      <c r="L175" s="2553">
        <v>0</v>
      </c>
      <c r="M175" s="2553">
        <v>0</v>
      </c>
    </row>
    <row r="176" spans="2:13" ht="38.25" x14ac:dyDescent="0.2">
      <c r="B176" s="2555"/>
      <c r="C176" s="2600" t="s">
        <v>235</v>
      </c>
      <c r="D176" s="2601" t="s">
        <v>740</v>
      </c>
      <c r="E176" s="2558" t="s">
        <v>993</v>
      </c>
      <c r="F176" s="2553">
        <v>45</v>
      </c>
      <c r="G176" s="2553">
        <v>561.49548859631045</v>
      </c>
      <c r="H176" s="2551">
        <v>25267.296986833968</v>
      </c>
      <c r="I176" s="2551">
        <f t="shared" si="2"/>
        <v>5041.088627728197</v>
      </c>
      <c r="J176" s="2559" t="s">
        <v>993</v>
      </c>
      <c r="K176" s="2553">
        <v>45</v>
      </c>
      <c r="L176" s="2553">
        <v>673.51968032360367</v>
      </c>
      <c r="M176" s="2553">
        <v>30308.385614562165</v>
      </c>
    </row>
    <row r="177" spans="2:13" ht="38.25" x14ac:dyDescent="0.2">
      <c r="B177" s="2555"/>
      <c r="C177" s="2600" t="s">
        <v>238</v>
      </c>
      <c r="D177" s="2601" t="s">
        <v>239</v>
      </c>
      <c r="E177" s="2558" t="s">
        <v>1008</v>
      </c>
      <c r="F177" s="2553">
        <v>2</v>
      </c>
      <c r="G177" s="2553">
        <v>8836.2640275691447</v>
      </c>
      <c r="H177" s="2551">
        <v>17672.528055138289</v>
      </c>
      <c r="I177" s="2551">
        <f t="shared" si="2"/>
        <v>7864.2749845365361</v>
      </c>
      <c r="J177" s="2559" t="s">
        <v>1008</v>
      </c>
      <c r="K177" s="2553">
        <v>2</v>
      </c>
      <c r="L177" s="2553">
        <v>12768.401519837413</v>
      </c>
      <c r="M177" s="2553">
        <v>25536.803039674825</v>
      </c>
    </row>
    <row r="178" spans="2:13" ht="38.25" x14ac:dyDescent="0.2">
      <c r="B178" s="2555"/>
      <c r="C178" s="2600" t="s">
        <v>564</v>
      </c>
      <c r="D178" s="2601" t="s">
        <v>241</v>
      </c>
      <c r="E178" s="2558"/>
      <c r="F178" s="2553">
        <v>4</v>
      </c>
      <c r="G178" s="2553">
        <v>309.26924096492007</v>
      </c>
      <c r="H178" s="2551">
        <v>1237.0769638596803</v>
      </c>
      <c r="I178" s="2551">
        <f t="shared" si="2"/>
        <v>-1237.0769638596803</v>
      </c>
      <c r="J178" s="2559"/>
      <c r="K178" s="2553">
        <v>0</v>
      </c>
      <c r="L178" s="2553">
        <v>0</v>
      </c>
      <c r="M178" s="2553">
        <v>0</v>
      </c>
    </row>
    <row r="179" spans="2:13" ht="38.25" x14ac:dyDescent="0.2">
      <c r="B179" s="2555"/>
      <c r="C179" s="2600" t="s">
        <v>243</v>
      </c>
      <c r="D179" s="2601" t="s">
        <v>565</v>
      </c>
      <c r="E179" s="2558" t="s">
        <v>1008</v>
      </c>
      <c r="F179" s="2553">
        <v>4</v>
      </c>
      <c r="G179" s="2553">
        <v>2209.0660068922862</v>
      </c>
      <c r="H179" s="2551">
        <v>8836.2640275691447</v>
      </c>
      <c r="I179" s="2551">
        <f t="shared" si="2"/>
        <v>-4948.3078554387212</v>
      </c>
      <c r="J179" s="2559" t="s">
        <v>1008</v>
      </c>
      <c r="K179" s="2553">
        <v>2</v>
      </c>
      <c r="L179" s="2553">
        <v>1943.9780860652118</v>
      </c>
      <c r="M179" s="2553">
        <v>3887.9561721304235</v>
      </c>
    </row>
    <row r="180" spans="2:13" ht="25.5" x14ac:dyDescent="0.2">
      <c r="B180" s="2555"/>
      <c r="C180" s="2600" t="s">
        <v>566</v>
      </c>
      <c r="D180" s="2601" t="s">
        <v>245</v>
      </c>
      <c r="E180" s="2558"/>
      <c r="F180" s="2553">
        <v>5</v>
      </c>
      <c r="G180" s="2553">
        <v>441.81320137845722</v>
      </c>
      <c r="H180" s="2551">
        <v>2209.0660068922862</v>
      </c>
      <c r="I180" s="2551">
        <f t="shared" si="2"/>
        <v>-2209.0660068922862</v>
      </c>
      <c r="J180" s="2559"/>
      <c r="K180" s="2553">
        <v>0</v>
      </c>
      <c r="L180" s="2553">
        <v>0</v>
      </c>
      <c r="M180" s="2553">
        <v>0</v>
      </c>
    </row>
    <row r="181" spans="2:13" ht="25.5" x14ac:dyDescent="0.2">
      <c r="B181" s="2555"/>
      <c r="C181" s="2600" t="s">
        <v>247</v>
      </c>
      <c r="D181" s="2601" t="s">
        <v>248</v>
      </c>
      <c r="E181" s="2558" t="s">
        <v>1008</v>
      </c>
      <c r="F181" s="2553">
        <v>2</v>
      </c>
      <c r="G181" s="2553">
        <v>375.54122117168862</v>
      </c>
      <c r="H181" s="2551">
        <v>751.08244234337724</v>
      </c>
      <c r="I181" s="2551">
        <f t="shared" si="2"/>
        <v>619.42210833259708</v>
      </c>
      <c r="J181" s="2559" t="s">
        <v>1008</v>
      </c>
      <c r="K181" s="2553">
        <v>2</v>
      </c>
      <c r="L181" s="2553">
        <v>685.25227533798716</v>
      </c>
      <c r="M181" s="2553">
        <v>1370.5045506759743</v>
      </c>
    </row>
    <row r="182" spans="2:13" ht="25.5" x14ac:dyDescent="0.2">
      <c r="B182" s="2555"/>
      <c r="C182" s="2600" t="s">
        <v>250</v>
      </c>
      <c r="D182" s="2601" t="s">
        <v>567</v>
      </c>
      <c r="E182" s="2558" t="s">
        <v>1020</v>
      </c>
      <c r="F182" s="2553">
        <v>18</v>
      </c>
      <c r="G182" s="2553">
        <v>44.181320137845724</v>
      </c>
      <c r="H182" s="2551">
        <v>795.26376248122301</v>
      </c>
      <c r="I182" s="2551">
        <f t="shared" si="2"/>
        <v>-70.690112220553146</v>
      </c>
      <c r="J182" s="2559" t="s">
        <v>1020</v>
      </c>
      <c r="K182" s="2553">
        <v>15</v>
      </c>
      <c r="L182" s="2553">
        <v>48.304910017377985</v>
      </c>
      <c r="M182" s="2553">
        <v>724.57365026066987</v>
      </c>
    </row>
    <row r="183" spans="2:13" ht="38.25" x14ac:dyDescent="0.2">
      <c r="B183" s="2555"/>
      <c r="C183" s="2600" t="s">
        <v>252</v>
      </c>
      <c r="D183" s="2601" t="s">
        <v>626</v>
      </c>
      <c r="E183" s="2558" t="s">
        <v>1008</v>
      </c>
      <c r="F183" s="2553">
        <v>3</v>
      </c>
      <c r="G183" s="2553">
        <v>2076.522046478749</v>
      </c>
      <c r="H183" s="2551">
        <v>6229.5661394362469</v>
      </c>
      <c r="I183" s="2551">
        <f t="shared" si="2"/>
        <v>220.90660068922807</v>
      </c>
      <c r="J183" s="2559" t="s">
        <v>1008</v>
      </c>
      <c r="K183" s="2553">
        <v>2</v>
      </c>
      <c r="L183" s="2553">
        <v>3225.2363700627375</v>
      </c>
      <c r="M183" s="2553">
        <v>6450.472740125475</v>
      </c>
    </row>
    <row r="184" spans="2:13" ht="63.75" x14ac:dyDescent="0.2">
      <c r="B184" s="2555"/>
      <c r="C184" s="2600" t="s">
        <v>700</v>
      </c>
      <c r="D184" s="2601" t="s">
        <v>697</v>
      </c>
      <c r="E184" s="2558" t="s">
        <v>1008</v>
      </c>
      <c r="F184" s="2553">
        <v>0</v>
      </c>
      <c r="G184" s="2553">
        <v>0</v>
      </c>
      <c r="H184" s="2551">
        <v>0</v>
      </c>
      <c r="I184" s="2551">
        <f t="shared" si="2"/>
        <v>5301.7584165414864</v>
      </c>
      <c r="J184" s="2559" t="s">
        <v>1008</v>
      </c>
      <c r="K184" s="2553">
        <v>2</v>
      </c>
      <c r="L184" s="2553">
        <v>2650.8792082707432</v>
      </c>
      <c r="M184" s="2553">
        <v>5301.7584165414864</v>
      </c>
    </row>
    <row r="185" spans="2:13" ht="25.5" x14ac:dyDescent="0.2">
      <c r="B185" s="2555"/>
      <c r="C185" s="2600" t="s">
        <v>254</v>
      </c>
      <c r="D185" s="2601" t="s">
        <v>255</v>
      </c>
      <c r="E185" s="2558" t="s">
        <v>1015</v>
      </c>
      <c r="F185" s="2553">
        <v>5</v>
      </c>
      <c r="G185" s="2553">
        <v>4895.2902712733057</v>
      </c>
      <c r="H185" s="2551">
        <v>24476.451356366531</v>
      </c>
      <c r="I185" s="2551">
        <f t="shared" si="2"/>
        <v>-24578.333480604404</v>
      </c>
      <c r="J185" s="2559" t="s">
        <v>1015</v>
      </c>
      <c r="K185" s="2553">
        <v>1</v>
      </c>
      <c r="L185" s="2553">
        <v>-101.88212423787223</v>
      </c>
      <c r="M185" s="2553">
        <v>-101.88212423787223</v>
      </c>
    </row>
    <row r="186" spans="2:13" ht="51" x14ac:dyDescent="0.2">
      <c r="B186" s="2555"/>
      <c r="C186" s="2600" t="s">
        <v>257</v>
      </c>
      <c r="D186" s="2601" t="s">
        <v>871</v>
      </c>
      <c r="E186" s="2558" t="s">
        <v>993</v>
      </c>
      <c r="F186" s="2553">
        <v>200</v>
      </c>
      <c r="G186" s="2553">
        <v>523.24379252452059</v>
      </c>
      <c r="H186" s="2551">
        <v>104648.75850490414</v>
      </c>
      <c r="I186" s="2551">
        <f t="shared" si="2"/>
        <v>47158.257488733769</v>
      </c>
      <c r="J186" s="2559" t="s">
        <v>993</v>
      </c>
      <c r="K186" s="2553">
        <v>260</v>
      </c>
      <c r="L186" s="2553">
        <v>583.87313843706875</v>
      </c>
      <c r="M186" s="2553">
        <v>151807.01599363791</v>
      </c>
    </row>
    <row r="187" spans="2:13" ht="25.5" x14ac:dyDescent="0.2">
      <c r="B187" s="2555"/>
      <c r="C187" s="2600" t="s">
        <v>533</v>
      </c>
      <c r="D187" s="2601" t="s">
        <v>534</v>
      </c>
      <c r="E187" s="2558"/>
      <c r="F187" s="2553">
        <v>0</v>
      </c>
      <c r="G187" s="2553">
        <v>0</v>
      </c>
      <c r="H187" s="2551">
        <v>0</v>
      </c>
      <c r="I187" s="2551">
        <f t="shared" si="2"/>
        <v>0</v>
      </c>
      <c r="J187" s="2559"/>
      <c r="K187" s="2553">
        <v>0</v>
      </c>
      <c r="L187" s="2553">
        <v>0</v>
      </c>
      <c r="M187" s="2553">
        <v>0</v>
      </c>
    </row>
    <row r="188" spans="2:13" ht="25.5" x14ac:dyDescent="0.2">
      <c r="B188" s="2555"/>
      <c r="C188" s="2600" t="s">
        <v>258</v>
      </c>
      <c r="D188" s="2601" t="s">
        <v>259</v>
      </c>
      <c r="E188" s="2558" t="s">
        <v>1008</v>
      </c>
      <c r="F188" s="2553">
        <v>30</v>
      </c>
      <c r="G188" s="2553">
        <v>485.1403493269712</v>
      </c>
      <c r="H188" s="2551">
        <v>14554.210479809137</v>
      </c>
      <c r="I188" s="2551">
        <f t="shared" si="2"/>
        <v>-7308.4739772024386</v>
      </c>
      <c r="J188" s="2559" t="s">
        <v>1008</v>
      </c>
      <c r="K188" s="2553">
        <v>40</v>
      </c>
      <c r="L188" s="2553">
        <v>181.14341256516747</v>
      </c>
      <c r="M188" s="2553">
        <v>7245.7365026066982</v>
      </c>
    </row>
    <row r="189" spans="2:13" ht="38.25" x14ac:dyDescent="0.2">
      <c r="B189" s="2555"/>
      <c r="C189" s="2600" t="s">
        <v>261</v>
      </c>
      <c r="D189" s="2601" t="s">
        <v>262</v>
      </c>
      <c r="E189" s="2558" t="s">
        <v>1008</v>
      </c>
      <c r="F189" s="2553">
        <v>6</v>
      </c>
      <c r="G189" s="2553">
        <v>645.04727401254752</v>
      </c>
      <c r="H189" s="2551">
        <v>3870.2836440752853</v>
      </c>
      <c r="I189" s="2551">
        <f t="shared" si="2"/>
        <v>-2677.3880003534509</v>
      </c>
      <c r="J189" s="2559" t="s">
        <v>1008</v>
      </c>
      <c r="K189" s="2553">
        <v>6</v>
      </c>
      <c r="L189" s="2553">
        <v>198.81594062030575</v>
      </c>
      <c r="M189" s="2553">
        <v>1192.8956437218344</v>
      </c>
    </row>
    <row r="190" spans="2:13" ht="38.25" x14ac:dyDescent="0.2">
      <c r="B190" s="2555"/>
      <c r="C190" s="2600" t="s">
        <v>264</v>
      </c>
      <c r="D190" s="2601" t="s">
        <v>265</v>
      </c>
      <c r="E190" s="2558" t="s">
        <v>1008</v>
      </c>
      <c r="F190" s="2553">
        <v>15</v>
      </c>
      <c r="G190" s="2553">
        <v>424.14067332331894</v>
      </c>
      <c r="H190" s="2551">
        <v>6362.1100998497841</v>
      </c>
      <c r="I190" s="2551">
        <f t="shared" si="2"/>
        <v>883.6264027569141</v>
      </c>
      <c r="J190" s="2559" t="s">
        <v>1008</v>
      </c>
      <c r="K190" s="2553">
        <v>15</v>
      </c>
      <c r="L190" s="2553">
        <v>483.04910017377983</v>
      </c>
      <c r="M190" s="2553">
        <v>7245.7365026066982</v>
      </c>
    </row>
    <row r="191" spans="2:13" ht="38.25" x14ac:dyDescent="0.2">
      <c r="B191" s="2555"/>
      <c r="C191" s="2600" t="s">
        <v>267</v>
      </c>
      <c r="D191" s="2601" t="s">
        <v>568</v>
      </c>
      <c r="E191" s="2558" t="s">
        <v>1008</v>
      </c>
      <c r="F191" s="2553">
        <v>80</v>
      </c>
      <c r="G191" s="2553">
        <v>148.00742246178316</v>
      </c>
      <c r="H191" s="2551">
        <v>11840.593796942654</v>
      </c>
      <c r="I191" s="2551">
        <f t="shared" si="2"/>
        <v>58937.881063886198</v>
      </c>
      <c r="J191" s="2559" t="s">
        <v>1008</v>
      </c>
      <c r="K191" s="2553">
        <v>90</v>
      </c>
      <c r="L191" s="2553">
        <v>786.42749845365381</v>
      </c>
      <c r="M191" s="2553">
        <v>70778.47486082885</v>
      </c>
    </row>
    <row r="192" spans="2:13" ht="63.75" x14ac:dyDescent="0.2">
      <c r="B192" s="2555"/>
      <c r="C192" s="2600" t="s">
        <v>701</v>
      </c>
      <c r="D192" s="2601" t="s">
        <v>702</v>
      </c>
      <c r="E192" s="2558" t="s">
        <v>1008</v>
      </c>
      <c r="F192" s="2553">
        <v>0</v>
      </c>
      <c r="G192" s="2553">
        <v>0</v>
      </c>
      <c r="H192" s="2551">
        <v>0</v>
      </c>
      <c r="I192" s="2551">
        <f t="shared" si="2"/>
        <v>3711.2308915790404</v>
      </c>
      <c r="J192" s="2559" t="s">
        <v>1008</v>
      </c>
      <c r="K192" s="2553">
        <v>60</v>
      </c>
      <c r="L192" s="2553">
        <v>61.85384819298401</v>
      </c>
      <c r="M192" s="2553">
        <v>3711.2308915790404</v>
      </c>
    </row>
    <row r="193" spans="1:13" ht="25.5" x14ac:dyDescent="0.2">
      <c r="B193" s="2555"/>
      <c r="C193" s="2600" t="s">
        <v>536</v>
      </c>
      <c r="D193" s="2601" t="s">
        <v>739</v>
      </c>
      <c r="E193" s="2558" t="s">
        <v>1001</v>
      </c>
      <c r="F193" s="2553">
        <v>0</v>
      </c>
      <c r="G193" s="2553">
        <v>0</v>
      </c>
      <c r="H193" s="2551">
        <v>0</v>
      </c>
      <c r="I193" s="2551">
        <f t="shared" si="2"/>
        <v>839.44508261906867</v>
      </c>
      <c r="J193" s="2559" t="s">
        <v>1001</v>
      </c>
      <c r="K193" s="2553">
        <v>2</v>
      </c>
      <c r="L193" s="2553">
        <v>419.72254130953434</v>
      </c>
      <c r="M193" s="2553">
        <v>839.44508261906867</v>
      </c>
    </row>
    <row r="194" spans="1:13" ht="13.5" thickBot="1" x14ac:dyDescent="0.25">
      <c r="B194" s="2555"/>
      <c r="C194" s="2600"/>
      <c r="D194" s="2601"/>
      <c r="E194" s="2558"/>
      <c r="F194" s="2553"/>
      <c r="G194" s="2553"/>
      <c r="H194" s="2551"/>
      <c r="I194" s="2551"/>
      <c r="J194" s="2559"/>
      <c r="K194" s="2553"/>
      <c r="L194" s="2553"/>
      <c r="M194" s="2553"/>
    </row>
    <row r="195" spans="1:13" s="2571" customFormat="1" ht="25.5" customHeight="1" thickBot="1" x14ac:dyDescent="0.3">
      <c r="B195" s="2590" t="s">
        <v>45</v>
      </c>
      <c r="C195" s="2573"/>
      <c r="D195" s="2574"/>
      <c r="E195" s="2574"/>
      <c r="F195" s="2574"/>
      <c r="G195" s="2574"/>
      <c r="H195" s="2575">
        <f>SUM(H143:H193)</f>
        <v>730672.43969249784</v>
      </c>
      <c r="I195" s="2575">
        <f t="shared" si="2"/>
        <v>340204.12653530098</v>
      </c>
      <c r="J195" s="2591"/>
      <c r="K195" s="2574"/>
      <c r="L195" s="2574"/>
      <c r="M195" s="2574">
        <f>SUM(M143:M193)</f>
        <v>1070876.5662277988</v>
      </c>
    </row>
    <row r="196" spans="1:13" x14ac:dyDescent="0.2">
      <c r="B196" s="2614"/>
      <c r="C196" s="2608"/>
      <c r="D196" s="2603"/>
      <c r="E196" s="2558"/>
      <c r="F196" s="2553"/>
      <c r="G196" s="2553"/>
      <c r="I196" s="2549"/>
      <c r="J196" s="2559"/>
      <c r="K196" s="2553"/>
      <c r="L196" s="2553"/>
    </row>
    <row r="197" spans="1:13" ht="42.75" customHeight="1" thickBot="1" x14ac:dyDescent="0.25">
      <c r="A197" s="2549"/>
      <c r="B197" s="2772" t="s">
        <v>269</v>
      </c>
      <c r="C197" s="2773"/>
      <c r="D197" s="2773"/>
      <c r="E197" s="2773"/>
      <c r="F197" s="2550"/>
      <c r="G197" s="2550"/>
      <c r="H197" s="2551"/>
      <c r="I197" s="2551"/>
      <c r="J197" s="2552"/>
      <c r="K197" s="2550"/>
      <c r="L197" s="2550"/>
      <c r="M197" s="2553"/>
    </row>
    <row r="198" spans="1:13" ht="28.5" customHeight="1" x14ac:dyDescent="0.2">
      <c r="A198" s="2549"/>
      <c r="B198" s="2774" t="s">
        <v>270</v>
      </c>
      <c r="C198" s="2775"/>
      <c r="D198" s="2775"/>
      <c r="E198" s="2554"/>
      <c r="F198" s="2552"/>
      <c r="G198" s="2550"/>
      <c r="H198" s="2551"/>
      <c r="I198" s="2551"/>
      <c r="J198" s="2552"/>
      <c r="K198" s="2550"/>
      <c r="L198" s="2550"/>
      <c r="M198" s="2553"/>
    </row>
    <row r="199" spans="1:13" ht="38.25" x14ac:dyDescent="0.2">
      <c r="B199" s="2555"/>
      <c r="C199" s="2600" t="s">
        <v>271</v>
      </c>
      <c r="D199" s="2601" t="s">
        <v>634</v>
      </c>
      <c r="E199" s="2558" t="s">
        <v>993</v>
      </c>
      <c r="F199" s="2553">
        <v>200</v>
      </c>
      <c r="G199" s="2553">
        <v>334.3642308032164</v>
      </c>
      <c r="H199" s="2551">
        <v>66872.846160643283</v>
      </c>
      <c r="I199" s="2551">
        <f t="shared" si="2"/>
        <v>-50349.032429088984</v>
      </c>
      <c r="J199" s="2559" t="s">
        <v>993</v>
      </c>
      <c r="K199" s="2553">
        <v>45</v>
      </c>
      <c r="L199" s="2553">
        <v>367.19586070120664</v>
      </c>
      <c r="M199" s="2553">
        <v>16523.813731554299</v>
      </c>
    </row>
    <row r="200" spans="1:13" ht="38.25" x14ac:dyDescent="0.2">
      <c r="B200" s="2555"/>
      <c r="C200" s="2600" t="s">
        <v>273</v>
      </c>
      <c r="D200" s="2601" t="s">
        <v>738</v>
      </c>
      <c r="E200" s="2558" t="s">
        <v>1022</v>
      </c>
      <c r="F200" s="2553">
        <v>120</v>
      </c>
      <c r="G200" s="2553">
        <v>363.75953580159648</v>
      </c>
      <c r="H200" s="2551">
        <v>43651.144296191575</v>
      </c>
      <c r="I200" s="2551">
        <f t="shared" ref="I200:I217" si="3">+M200-H200</f>
        <v>-18025.978616241056</v>
      </c>
      <c r="J200" s="2559" t="s">
        <v>1022</v>
      </c>
      <c r="K200" s="2553">
        <v>110</v>
      </c>
      <c r="L200" s="2553">
        <v>232.95605163591381</v>
      </c>
      <c r="M200" s="2553">
        <v>25625.165679950518</v>
      </c>
    </row>
    <row r="201" spans="1:13" ht="25.5" x14ac:dyDescent="0.2">
      <c r="B201" s="2555"/>
      <c r="C201" s="2600" t="s">
        <v>275</v>
      </c>
      <c r="D201" s="2601" t="s">
        <v>719</v>
      </c>
      <c r="E201" s="2558" t="s">
        <v>997</v>
      </c>
      <c r="F201" s="2553">
        <v>500</v>
      </c>
      <c r="G201" s="2553">
        <v>14.13802244411063</v>
      </c>
      <c r="H201" s="2551">
        <v>7069.0112220553156</v>
      </c>
      <c r="I201" s="2551">
        <f t="shared" si="3"/>
        <v>1413.8022444110638</v>
      </c>
      <c r="J201" s="2559" t="s">
        <v>997</v>
      </c>
      <c r="K201" s="2553">
        <v>400</v>
      </c>
      <c r="L201" s="2553">
        <v>21.207033666165945</v>
      </c>
      <c r="M201" s="2553">
        <v>8482.8134664663794</v>
      </c>
    </row>
    <row r="202" spans="1:13" ht="25.5" x14ac:dyDescent="0.2">
      <c r="B202" s="2555"/>
      <c r="C202" s="2600" t="s">
        <v>703</v>
      </c>
      <c r="D202" s="2601" t="s">
        <v>720</v>
      </c>
      <c r="E202" s="2558" t="s">
        <v>1007</v>
      </c>
      <c r="F202" s="2553">
        <v>0</v>
      </c>
      <c r="G202" s="2553">
        <v>0</v>
      </c>
      <c r="H202" s="2551">
        <v>0</v>
      </c>
      <c r="I202" s="2551">
        <f t="shared" si="3"/>
        <v>5301.7584165414864</v>
      </c>
      <c r="J202" s="2559" t="s">
        <v>1007</v>
      </c>
      <c r="K202" s="2553">
        <v>200</v>
      </c>
      <c r="L202" s="2553">
        <v>26.508792082707433</v>
      </c>
      <c r="M202" s="2553">
        <v>5301.7584165414864</v>
      </c>
    </row>
    <row r="203" spans="1:13" ht="25.5" x14ac:dyDescent="0.2">
      <c r="B203" s="2555"/>
      <c r="C203" s="2600" t="s">
        <v>704</v>
      </c>
      <c r="D203" s="2601" t="s">
        <v>705</v>
      </c>
      <c r="E203" s="2558" t="s">
        <v>1007</v>
      </c>
      <c r="F203" s="2553">
        <v>0</v>
      </c>
      <c r="G203" s="2553">
        <v>0</v>
      </c>
      <c r="H203" s="2551">
        <v>0</v>
      </c>
      <c r="I203" s="2551">
        <f t="shared" si="3"/>
        <v>12370.769638596803</v>
      </c>
      <c r="J203" s="2559" t="s">
        <v>1007</v>
      </c>
      <c r="K203" s="2553">
        <v>320</v>
      </c>
      <c r="L203" s="2553">
        <v>38.658655120615009</v>
      </c>
      <c r="M203" s="2553">
        <v>12370.769638596803</v>
      </c>
    </row>
    <row r="204" spans="1:13" ht="51" x14ac:dyDescent="0.2">
      <c r="B204" s="2555"/>
      <c r="C204" s="2600" t="s">
        <v>569</v>
      </c>
      <c r="D204" s="2601" t="s">
        <v>737</v>
      </c>
      <c r="E204" s="2558" t="s">
        <v>1036</v>
      </c>
      <c r="F204" s="2553">
        <v>0</v>
      </c>
      <c r="G204" s="2553">
        <v>0</v>
      </c>
      <c r="H204" s="2551">
        <v>0</v>
      </c>
      <c r="I204" s="2551">
        <f t="shared" si="3"/>
        <v>18997.967659273661</v>
      </c>
      <c r="J204" s="2559" t="s">
        <v>1036</v>
      </c>
      <c r="K204" s="2553">
        <v>50</v>
      </c>
      <c r="L204" s="2553">
        <v>379.95935318547322</v>
      </c>
      <c r="M204" s="2553">
        <v>18997.967659273661</v>
      </c>
    </row>
    <row r="205" spans="1:13" ht="13.5" thickBot="1" x14ac:dyDescent="0.25">
      <c r="B205" s="2555"/>
      <c r="C205" s="2600"/>
      <c r="D205" s="2601"/>
      <c r="E205" s="2558"/>
      <c r="F205" s="2553"/>
      <c r="G205" s="2553"/>
      <c r="H205" s="2551"/>
      <c r="I205" s="2551"/>
      <c r="J205" s="2559"/>
      <c r="K205" s="2553"/>
      <c r="L205" s="2553"/>
      <c r="M205" s="2553"/>
    </row>
    <row r="206" spans="1:13" s="2571" customFormat="1" ht="25.5" customHeight="1" thickBot="1" x14ac:dyDescent="0.3">
      <c r="B206" s="2590" t="s">
        <v>45</v>
      </c>
      <c r="C206" s="2573"/>
      <c r="D206" s="2574"/>
      <c r="E206" s="2574"/>
      <c r="F206" s="2574"/>
      <c r="G206" s="2574"/>
      <c r="H206" s="2607">
        <f>SUM(H199:H204)</f>
        <v>117593.00167889017</v>
      </c>
      <c r="I206" s="2607">
        <f t="shared" si="3"/>
        <v>-30290.713086507021</v>
      </c>
      <c r="J206" s="2591"/>
      <c r="K206" s="2574"/>
      <c r="L206" s="2574"/>
      <c r="M206" s="2574">
        <f>SUM(M199:M204)</f>
        <v>87302.288592383149</v>
      </c>
    </row>
    <row r="207" spans="1:13" x14ac:dyDescent="0.2">
      <c r="B207" s="2615" t="s">
        <v>155</v>
      </c>
      <c r="C207" s="2616"/>
      <c r="D207" s="2617"/>
      <c r="E207" s="2558"/>
      <c r="F207" s="2553"/>
      <c r="G207" s="2553"/>
      <c r="I207" s="2549"/>
      <c r="J207" s="2559"/>
      <c r="K207" s="2553"/>
      <c r="L207" s="2553"/>
    </row>
    <row r="208" spans="1:13" ht="28.5" customHeight="1" x14ac:dyDescent="0.2">
      <c r="A208" s="2549"/>
      <c r="B208" s="2776" t="s">
        <v>277</v>
      </c>
      <c r="C208" s="2777"/>
      <c r="D208" s="2777"/>
      <c r="E208" s="2777"/>
      <c r="F208" s="2777"/>
      <c r="G208" s="2778"/>
      <c r="H208" s="2551"/>
      <c r="I208" s="2551"/>
      <c r="J208" s="2552"/>
      <c r="K208" s="2550"/>
      <c r="L208" s="2550"/>
      <c r="M208" s="2553"/>
    </row>
    <row r="209" spans="2:13" ht="51" x14ac:dyDescent="0.2">
      <c r="B209" s="2555"/>
      <c r="C209" s="2600" t="s">
        <v>278</v>
      </c>
      <c r="D209" s="2601" t="s">
        <v>279</v>
      </c>
      <c r="E209" s="2558" t="s">
        <v>993</v>
      </c>
      <c r="F209" s="2553">
        <v>120</v>
      </c>
      <c r="G209" s="2553">
        <v>114.87143235839888</v>
      </c>
      <c r="H209" s="2551">
        <v>13784.571883007866</v>
      </c>
      <c r="I209" s="2551">
        <f t="shared" si="3"/>
        <v>3622.8682513033491</v>
      </c>
      <c r="J209" s="2559" t="s">
        <v>993</v>
      </c>
      <c r="K209" s="2553">
        <v>30</v>
      </c>
      <c r="L209" s="2553">
        <v>580.24800447704047</v>
      </c>
      <c r="M209" s="2553">
        <v>17407.440134311215</v>
      </c>
    </row>
    <row r="210" spans="2:13" ht="25.5" x14ac:dyDescent="0.2">
      <c r="B210" s="2555"/>
      <c r="C210" s="2600" t="s">
        <v>539</v>
      </c>
      <c r="D210" s="2601" t="s">
        <v>540</v>
      </c>
      <c r="E210" s="2558" t="s">
        <v>997</v>
      </c>
      <c r="F210" s="2553">
        <v>0</v>
      </c>
      <c r="G210" s="2553">
        <v>0</v>
      </c>
      <c r="H210" s="2551">
        <v>0</v>
      </c>
      <c r="I210" s="2551">
        <f t="shared" si="3"/>
        <v>2120.7033666165948</v>
      </c>
      <c r="J210" s="2559" t="s">
        <v>997</v>
      </c>
      <c r="K210" s="2553">
        <v>300</v>
      </c>
      <c r="L210" s="2553">
        <v>7.0690112220553152</v>
      </c>
      <c r="M210" s="2553">
        <v>2120.7033666165948</v>
      </c>
    </row>
    <row r="211" spans="2:13" ht="38.25" x14ac:dyDescent="0.2">
      <c r="B211" s="2555"/>
      <c r="C211" s="2600" t="s">
        <v>281</v>
      </c>
      <c r="D211" s="2601" t="s">
        <v>639</v>
      </c>
      <c r="E211" s="2558" t="s">
        <v>1015</v>
      </c>
      <c r="F211" s="2553">
        <v>6</v>
      </c>
      <c r="G211" s="2553">
        <v>7753.8216841919239</v>
      </c>
      <c r="H211" s="2551">
        <v>46522.930105151543</v>
      </c>
      <c r="I211" s="2551">
        <f t="shared" si="3"/>
        <v>11708.049836529121</v>
      </c>
      <c r="J211" s="2559" t="s">
        <v>1015</v>
      </c>
      <c r="K211" s="2553">
        <v>12</v>
      </c>
      <c r="L211" s="2553">
        <v>4852.581661806722</v>
      </c>
      <c r="M211" s="2553">
        <v>58230.979941680664</v>
      </c>
    </row>
    <row r="212" spans="2:13" ht="38.25" x14ac:dyDescent="0.2">
      <c r="B212" s="2555"/>
      <c r="C212" s="2600" t="s">
        <v>282</v>
      </c>
      <c r="D212" s="2601" t="s">
        <v>283</v>
      </c>
      <c r="E212" s="2558" t="s">
        <v>1015</v>
      </c>
      <c r="F212" s="2553">
        <v>20</v>
      </c>
      <c r="G212" s="2553">
        <v>1723.95511177874</v>
      </c>
      <c r="H212" s="2551">
        <v>34479.102235574799</v>
      </c>
      <c r="I212" s="2551">
        <f t="shared" si="3"/>
        <v>-724.57365026066691</v>
      </c>
      <c r="J212" s="2559" t="s">
        <v>1015</v>
      </c>
      <c r="K212" s="2553">
        <v>20</v>
      </c>
      <c r="L212" s="2553">
        <v>1687.7264292657067</v>
      </c>
      <c r="M212" s="2553">
        <v>33754.528585314132</v>
      </c>
    </row>
    <row r="213" spans="2:13" ht="51" x14ac:dyDescent="0.2">
      <c r="B213" s="2555"/>
      <c r="C213" s="2600" t="s">
        <v>284</v>
      </c>
      <c r="D213" s="2601" t="s">
        <v>641</v>
      </c>
      <c r="E213" s="2558" t="s">
        <v>993</v>
      </c>
      <c r="F213" s="2553">
        <v>50</v>
      </c>
      <c r="G213" s="2553">
        <v>609.01652381373151</v>
      </c>
      <c r="H213" s="2551">
        <v>30450.826190686577</v>
      </c>
      <c r="I213" s="2551">
        <f t="shared" si="3"/>
        <v>32286.648405054348</v>
      </c>
      <c r="J213" s="2559" t="s">
        <v>993</v>
      </c>
      <c r="K213" s="2553">
        <v>55</v>
      </c>
      <c r="L213" s="2553">
        <v>1140.6813562861987</v>
      </c>
      <c r="M213" s="2553">
        <v>62737.474595740925</v>
      </c>
    </row>
    <row r="214" spans="2:13" ht="38.25" x14ac:dyDescent="0.2">
      <c r="B214" s="2555"/>
      <c r="C214" s="2600" t="s">
        <v>707</v>
      </c>
      <c r="D214" s="2601" t="s">
        <v>706</v>
      </c>
      <c r="E214" s="2558" t="s">
        <v>1036</v>
      </c>
      <c r="F214" s="2553">
        <v>0</v>
      </c>
      <c r="G214" s="2553">
        <v>0</v>
      </c>
      <c r="H214" s="2551">
        <v>0</v>
      </c>
      <c r="I214" s="2551">
        <f t="shared" si="3"/>
        <v>8482.8134664663794</v>
      </c>
      <c r="J214" s="2559" t="s">
        <v>1036</v>
      </c>
      <c r="K214" s="2553">
        <v>160</v>
      </c>
      <c r="L214" s="2553">
        <v>53.017584165414867</v>
      </c>
      <c r="M214" s="2553">
        <v>8482.8134664663794</v>
      </c>
    </row>
    <row r="215" spans="2:13" ht="38.25" x14ac:dyDescent="0.2">
      <c r="B215" s="2555"/>
      <c r="C215" s="2600" t="s">
        <v>286</v>
      </c>
      <c r="D215" s="2601" t="s">
        <v>287</v>
      </c>
      <c r="E215" s="2558" t="s">
        <v>993</v>
      </c>
      <c r="F215" s="2553">
        <v>120</v>
      </c>
      <c r="G215" s="2553">
        <v>102.03675885835469</v>
      </c>
      <c r="H215" s="2551">
        <v>12244.411063002601</v>
      </c>
      <c r="I215" s="2551">
        <f t="shared" si="3"/>
        <v>-5970.6636034285084</v>
      </c>
      <c r="J215" s="2559" t="s">
        <v>993</v>
      </c>
      <c r="K215" s="2553">
        <v>120</v>
      </c>
      <c r="L215" s="2553">
        <v>52.281228829784105</v>
      </c>
      <c r="M215" s="2553">
        <v>6273.7474595740923</v>
      </c>
    </row>
    <row r="216" spans="2:13" ht="38.25" x14ac:dyDescent="0.2">
      <c r="B216" s="2555"/>
      <c r="C216" s="2600" t="s">
        <v>289</v>
      </c>
      <c r="D216" s="2601" t="s">
        <v>290</v>
      </c>
      <c r="E216" s="2558" t="s">
        <v>993</v>
      </c>
      <c r="F216" s="2553">
        <v>60</v>
      </c>
      <c r="G216" s="2553">
        <v>546.33147771788754</v>
      </c>
      <c r="H216" s="2551">
        <v>32779.888663073252</v>
      </c>
      <c r="I216" s="2551">
        <f t="shared" si="3"/>
        <v>5127.6840151983779</v>
      </c>
      <c r="J216" s="2559" t="s">
        <v>993</v>
      </c>
      <c r="K216" s="2553">
        <v>60</v>
      </c>
      <c r="L216" s="2553">
        <v>631.79287797119378</v>
      </c>
      <c r="M216" s="2553">
        <v>37907.57267827163</v>
      </c>
    </row>
    <row r="217" spans="2:13" ht="26.25" thickBot="1" x14ac:dyDescent="0.25">
      <c r="B217" s="2555"/>
      <c r="C217" s="2600" t="s">
        <v>708</v>
      </c>
      <c r="D217" s="2601" t="s">
        <v>990</v>
      </c>
      <c r="E217" s="2558" t="s">
        <v>993</v>
      </c>
      <c r="F217" s="2553"/>
      <c r="G217" s="2553"/>
      <c r="H217" s="2551"/>
      <c r="I217" s="2551">
        <f t="shared" si="3"/>
        <v>9896.6157108774423</v>
      </c>
      <c r="J217" s="2559" t="s">
        <v>993</v>
      </c>
      <c r="K217" s="2553">
        <v>160</v>
      </c>
      <c r="L217" s="2553">
        <v>61.85384819298401</v>
      </c>
      <c r="M217" s="2553">
        <v>9896.6157108774423</v>
      </c>
    </row>
    <row r="218" spans="2:13" s="2571" customFormat="1" ht="25.5" customHeight="1" thickBot="1" x14ac:dyDescent="0.3">
      <c r="B218" s="2590" t="s">
        <v>45</v>
      </c>
      <c r="C218" s="2573"/>
      <c r="D218" s="2574"/>
      <c r="E218" s="2574"/>
      <c r="F218" s="2574"/>
      <c r="G218" s="2574"/>
      <c r="H218" s="2575">
        <f>SUM(H209:H217)</f>
        <v>170261.73014049663</v>
      </c>
      <c r="I218" s="2575">
        <f>SUM(I209:I217)</f>
        <v>66550.145798356432</v>
      </c>
      <c r="J218" s="2591"/>
      <c r="K218" s="2574"/>
      <c r="L218" s="2574"/>
      <c r="M218" s="2574">
        <f>SUM(M209:M217)</f>
        <v>236811.87593885305</v>
      </c>
    </row>
    <row r="219" spans="2:13" ht="13.5" thickBot="1" x14ac:dyDescent="0.25">
      <c r="B219" s="2586"/>
      <c r="C219" s="2569"/>
      <c r="D219" s="2618"/>
      <c r="E219" s="2558"/>
      <c r="I219" s="2549"/>
      <c r="J219" s="2559"/>
      <c r="K219" s="2553"/>
      <c r="L219" s="2553"/>
    </row>
    <row r="220" spans="2:13" ht="15.75" thickBot="1" x14ac:dyDescent="0.3">
      <c r="B220" s="2786" t="s">
        <v>291</v>
      </c>
      <c r="C220" s="2787"/>
      <c r="D220" s="2786"/>
      <c r="E220" s="2786"/>
      <c r="F220" s="2786"/>
      <c r="G220" s="2786"/>
      <c r="H220" s="2788">
        <f>+H218+H206+H195+H140+H110+H103+H71+H64+H53+H33+H18+1</f>
        <v>2920972.0170539892</v>
      </c>
      <c r="I220" s="2788">
        <f>+I218+I206+I195+I140+I110+I103+I71+I64+I53+I33+I18+1</f>
        <v>1503896.2460899535</v>
      </c>
      <c r="J220" s="2789"/>
      <c r="K220" s="2790"/>
      <c r="L220" s="2790"/>
      <c r="M220" s="2791">
        <f>+M218+M206+M195+M140+M110+M103+M71+M64+M53+M33+M18</f>
        <v>4424866.2631439427</v>
      </c>
    </row>
    <row r="221" spans="2:13" ht="27" thickBot="1" x14ac:dyDescent="0.3">
      <c r="B221" s="2619" t="s">
        <v>292</v>
      </c>
      <c r="C221" s="2620"/>
      <c r="D221" s="2619"/>
      <c r="E221" s="2619"/>
      <c r="F221" s="2619"/>
      <c r="G221" s="2619"/>
      <c r="H221" s="2607">
        <v>204467.63509233895</v>
      </c>
      <c r="I221" s="2607">
        <v>6630.32</v>
      </c>
      <c r="J221" s="2591"/>
      <c r="K221" s="2574"/>
      <c r="L221" s="2574"/>
      <c r="M221" s="2574">
        <v>211099.95882301001</v>
      </c>
    </row>
    <row r="222" spans="2:13" ht="15.75" thickBot="1" x14ac:dyDescent="0.3">
      <c r="B222" s="2621"/>
      <c r="C222" s="2622"/>
      <c r="D222" s="2621"/>
      <c r="E222" s="2621"/>
      <c r="F222" s="2621"/>
      <c r="G222" s="2621"/>
      <c r="H222" s="2607"/>
      <c r="I222" s="2607"/>
      <c r="J222" s="2591"/>
      <c r="K222" s="2574"/>
      <c r="L222" s="2574"/>
      <c r="M222" s="2574"/>
    </row>
    <row r="223" spans="2:13" ht="15.75" thickBot="1" x14ac:dyDescent="0.3">
      <c r="B223" s="2792" t="s">
        <v>293</v>
      </c>
      <c r="C223" s="2793"/>
      <c r="D223" s="2792"/>
      <c r="E223" s="2792"/>
      <c r="F223" s="2792"/>
      <c r="G223" s="2792"/>
      <c r="H223" s="2788">
        <f>+H220+H221</f>
        <v>3125439.6521463282</v>
      </c>
      <c r="I223" s="2788">
        <f>+I220+I221</f>
        <v>1510526.5660899535</v>
      </c>
      <c r="J223" s="2789"/>
      <c r="K223" s="2790"/>
      <c r="L223" s="2790"/>
      <c r="M223" s="2790">
        <f>+M220+M221</f>
        <v>4635966.221966953</v>
      </c>
    </row>
    <row r="224" spans="2:13" ht="13.5" thickTop="1" x14ac:dyDescent="0.2">
      <c r="K224" s="2553"/>
      <c r="L224" s="2553"/>
    </row>
    <row r="225" spans="9:9" x14ac:dyDescent="0.2">
      <c r="I225" s="2628"/>
    </row>
  </sheetData>
  <mergeCells count="17">
    <mergeCell ref="B20:D20"/>
    <mergeCell ref="A1:M1"/>
    <mergeCell ref="A3:A4"/>
    <mergeCell ref="D3:H3"/>
    <mergeCell ref="J3:M3"/>
    <mergeCell ref="B6:D6"/>
    <mergeCell ref="B142:D142"/>
    <mergeCell ref="B198:D198"/>
    <mergeCell ref="B54:D54"/>
    <mergeCell ref="B66:D66"/>
    <mergeCell ref="B73:D73"/>
    <mergeCell ref="B106:D106"/>
    <mergeCell ref="B36:G36"/>
    <mergeCell ref="B105:E105"/>
    <mergeCell ref="B112:E112"/>
    <mergeCell ref="B113:G113"/>
    <mergeCell ref="B208:G208"/>
  </mergeCells>
  <pageMargins left="0.7" right="0.7" top="0.75" bottom="0.75" header="0.3" footer="0.3"/>
  <pageSetup paperSize="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55"/>
  <sheetViews>
    <sheetView view="pageBreakPreview" topLeftCell="J55" zoomScale="55" zoomScaleNormal="60" zoomScaleSheetLayoutView="55" workbookViewId="0">
      <pane ySplit="6" topLeftCell="A281" activePane="bottomLeft" state="frozen"/>
      <selection activeCell="A55" sqref="A55"/>
      <selection pane="bottomLeft" activeCell="S287" sqref="S287"/>
    </sheetView>
  </sheetViews>
  <sheetFormatPr defaultRowHeight="12.75" x14ac:dyDescent="0.2"/>
  <cols>
    <col min="1" max="1" width="10.140625" customWidth="1"/>
    <col min="2" max="2" width="38.85546875" customWidth="1"/>
    <col min="3" max="3" width="14.85546875" customWidth="1"/>
    <col min="4" max="4" width="77.5703125" customWidth="1"/>
    <col min="5" max="5" width="29.140625" customWidth="1"/>
    <col min="6" max="6" width="31.140625" customWidth="1"/>
    <col min="7" max="7" width="32.42578125" customWidth="1"/>
    <col min="8" max="8" width="47.42578125" customWidth="1"/>
    <col min="9" max="9" width="42" customWidth="1"/>
    <col min="10" max="10" width="24.85546875" customWidth="1"/>
    <col min="11" max="11" width="21.7109375" customWidth="1"/>
    <col min="12" max="12" width="22" customWidth="1"/>
    <col min="13" max="13" width="21.85546875" customWidth="1"/>
    <col min="14" max="14" width="25.5703125" customWidth="1"/>
    <col min="15" max="15" width="31.28515625" customWidth="1"/>
    <col min="16" max="17" width="26.5703125" customWidth="1"/>
    <col min="18" max="18" width="20.85546875" customWidth="1"/>
    <col min="19" max="20" width="22.5703125" customWidth="1"/>
    <col min="21" max="21" width="43.5703125" customWidth="1"/>
    <col min="22" max="22" width="23.85546875" customWidth="1"/>
    <col min="23" max="23" width="23.42578125" customWidth="1"/>
    <col min="24" max="25" width="23.7109375" customWidth="1"/>
    <col min="26" max="26" width="21" customWidth="1"/>
    <col min="27" max="27" width="23.28515625" customWidth="1"/>
    <col min="28" max="28" width="23.7109375" customWidth="1"/>
    <col min="29" max="29" width="18.7109375" customWidth="1"/>
    <col min="30" max="30" width="21.42578125" customWidth="1"/>
    <col min="31" max="31" width="23.28515625" customWidth="1"/>
    <col min="33" max="33" width="20.28515625" customWidth="1"/>
  </cols>
  <sheetData>
    <row r="1" spans="1:31" x14ac:dyDescent="0.2">
      <c r="A1" s="1" t="s">
        <v>0</v>
      </c>
      <c r="B1" s="2"/>
      <c r="C1" s="3"/>
      <c r="D1" s="3"/>
      <c r="E1" s="3"/>
      <c r="F1" s="3"/>
      <c r="G1" s="3"/>
      <c r="H1" s="3"/>
      <c r="I1" s="3"/>
      <c r="J1" s="3"/>
      <c r="K1" s="3"/>
      <c r="L1" s="3"/>
      <c r="M1" s="3"/>
      <c r="N1" s="3"/>
      <c r="O1" s="3"/>
      <c r="P1" s="3"/>
      <c r="Q1" s="3"/>
      <c r="R1" s="3"/>
      <c r="S1" s="3"/>
      <c r="T1" s="3"/>
      <c r="U1" s="3"/>
      <c r="V1" s="4"/>
      <c r="W1" s="5"/>
      <c r="X1" s="5"/>
      <c r="Y1" s="5"/>
    </row>
    <row r="2" spans="1:31" ht="184.5" customHeight="1" thickBot="1" x14ac:dyDescent="0.25">
      <c r="A2" s="6"/>
      <c r="B2" s="7"/>
      <c r="C2" s="5"/>
      <c r="D2" s="5"/>
      <c r="E2" s="5"/>
      <c r="F2" s="5"/>
      <c r="G2" s="5"/>
      <c r="H2" s="5"/>
      <c r="I2" s="5"/>
      <c r="J2" s="5"/>
      <c r="K2" s="5"/>
      <c r="L2" s="5"/>
      <c r="M2" s="5"/>
      <c r="N2" s="5"/>
      <c r="O2" s="5"/>
      <c r="P2" s="5"/>
      <c r="Q2" s="5"/>
      <c r="R2" s="5"/>
      <c r="S2" s="5"/>
      <c r="T2" s="5"/>
      <c r="V2" s="8"/>
      <c r="W2" s="2230"/>
      <c r="X2" s="254"/>
      <c r="Y2" s="254"/>
      <c r="Z2" s="413"/>
      <c r="AA2" s="413"/>
      <c r="AB2" s="413"/>
      <c r="AC2" s="413"/>
      <c r="AD2" s="413"/>
      <c r="AE2" s="413"/>
    </row>
    <row r="3" spans="1:31" ht="48" customHeight="1" x14ac:dyDescent="0.55000000000000004">
      <c r="A3" s="10"/>
      <c r="B3" s="2679" t="s">
        <v>1122</v>
      </c>
      <c r="C3" s="2680"/>
      <c r="D3" s="2680"/>
      <c r="E3" s="2680"/>
      <c r="F3" s="2680"/>
      <c r="G3" s="2680"/>
      <c r="H3" s="2680"/>
      <c r="I3" s="2680"/>
      <c r="J3" s="2680"/>
      <c r="K3" s="2680"/>
      <c r="L3" s="2680"/>
      <c r="M3" s="2680"/>
      <c r="N3" s="2680"/>
      <c r="O3" s="2680"/>
      <c r="P3" s="2680"/>
      <c r="Q3" s="2680"/>
      <c r="R3" s="2680"/>
      <c r="S3" s="2680"/>
      <c r="T3" s="2680"/>
      <c r="U3" s="2680"/>
      <c r="V3" s="2745"/>
      <c r="W3" s="11"/>
      <c r="X3" s="11"/>
      <c r="Y3" s="983"/>
    </row>
    <row r="4" spans="1:31" ht="42" customHeight="1" x14ac:dyDescent="0.35">
      <c r="A4" s="12"/>
      <c r="B4" s="13" t="s">
        <v>1</v>
      </c>
      <c r="C4" s="2681" t="s">
        <v>1117</v>
      </c>
      <c r="D4" s="2641"/>
      <c r="E4" s="2641"/>
      <c r="F4" s="2641"/>
      <c r="G4" s="2641"/>
      <c r="H4" s="2641"/>
      <c r="I4" s="2641"/>
      <c r="J4" s="2641"/>
      <c r="K4" s="2641"/>
      <c r="L4" s="2641"/>
      <c r="M4" s="2641"/>
      <c r="N4" s="2641"/>
      <c r="O4" s="2641"/>
      <c r="P4" s="2641"/>
      <c r="Q4" s="2641"/>
      <c r="R4" s="2641"/>
      <c r="S4" s="2641"/>
      <c r="T4" s="2641"/>
      <c r="U4" s="2641"/>
      <c r="V4" s="2741"/>
      <c r="W4" s="11"/>
      <c r="X4" s="11"/>
      <c r="Y4" s="983"/>
    </row>
    <row r="5" spans="1:31" ht="35.25" customHeight="1" x14ac:dyDescent="0.35">
      <c r="A5" s="235"/>
      <c r="B5" s="1679" t="s">
        <v>1</v>
      </c>
      <c r="C5" s="1680"/>
      <c r="D5" s="1680" t="s">
        <v>1117</v>
      </c>
      <c r="E5" s="983"/>
      <c r="F5" s="983"/>
      <c r="G5" s="983"/>
      <c r="H5" s="983"/>
      <c r="I5" s="983"/>
      <c r="J5" s="983"/>
      <c r="K5" s="983"/>
      <c r="L5" s="983"/>
      <c r="M5" s="983"/>
      <c r="N5" s="983"/>
      <c r="O5" s="983"/>
      <c r="P5" s="983"/>
      <c r="Q5" s="983"/>
      <c r="R5" s="983"/>
      <c r="S5" s="983"/>
      <c r="T5" s="983"/>
      <c r="U5" s="983"/>
      <c r="V5" s="2229"/>
      <c r="W5" s="983"/>
      <c r="X5" s="983"/>
      <c r="Y5" s="983"/>
    </row>
    <row r="6" spans="1:31" ht="32.25" customHeight="1" x14ac:dyDescent="0.35">
      <c r="A6" s="235"/>
      <c r="B6" s="13" t="s">
        <v>542</v>
      </c>
      <c r="C6" s="1680"/>
      <c r="D6" s="242" t="s">
        <v>543</v>
      </c>
      <c r="E6" s="983"/>
      <c r="F6" s="983"/>
      <c r="G6" s="983"/>
      <c r="H6" s="983"/>
      <c r="I6" s="983"/>
      <c r="J6" s="983"/>
      <c r="K6" s="983"/>
      <c r="L6" s="983"/>
      <c r="M6" s="983"/>
      <c r="N6" s="983"/>
      <c r="O6" s="983"/>
      <c r="P6" s="983"/>
      <c r="Q6" s="983"/>
      <c r="R6" s="983"/>
      <c r="S6" s="983"/>
      <c r="T6" s="983"/>
      <c r="U6" s="983"/>
      <c r="V6" s="2229"/>
      <c r="W6" s="983"/>
      <c r="X6" s="983"/>
      <c r="Y6" s="983"/>
    </row>
    <row r="7" spans="1:31" ht="28.5" customHeight="1" x14ac:dyDescent="0.35">
      <c r="A7" s="235"/>
      <c r="B7" s="13" t="s">
        <v>544</v>
      </c>
      <c r="C7" s="1680"/>
      <c r="D7" s="1682">
        <v>52120087</v>
      </c>
      <c r="E7" s="983"/>
      <c r="F7" s="983"/>
      <c r="G7" s="983"/>
      <c r="H7" s="983"/>
      <c r="I7" s="983"/>
      <c r="J7" s="983"/>
      <c r="K7" s="983"/>
      <c r="L7" s="983"/>
      <c r="M7" s="983"/>
      <c r="N7" s="983"/>
      <c r="O7" s="983"/>
      <c r="P7" s="983"/>
      <c r="Q7" s="983"/>
      <c r="R7" s="983"/>
      <c r="S7" s="983"/>
      <c r="T7" s="983"/>
      <c r="U7" s="983"/>
      <c r="V7" s="2229"/>
      <c r="W7" s="983"/>
      <c r="X7" s="983"/>
      <c r="Y7" s="983"/>
    </row>
    <row r="8" spans="1:31" ht="30" customHeight="1" x14ac:dyDescent="0.35">
      <c r="A8" s="235"/>
      <c r="B8" s="13" t="s">
        <v>545</v>
      </c>
      <c r="C8" s="1680"/>
      <c r="D8" s="1682" t="s">
        <v>1109</v>
      </c>
      <c r="E8" s="983"/>
      <c r="F8" s="983"/>
      <c r="G8" s="983"/>
      <c r="H8" s="983"/>
      <c r="I8" s="983"/>
      <c r="J8" s="983"/>
      <c r="K8" s="983"/>
      <c r="L8" s="983"/>
      <c r="M8" s="983"/>
      <c r="N8" s="983"/>
      <c r="O8" s="983"/>
      <c r="P8" s="983"/>
      <c r="Q8" s="983"/>
      <c r="R8" s="983"/>
      <c r="S8" s="983"/>
      <c r="T8" s="983"/>
      <c r="U8" s="983"/>
      <c r="V8" s="2229"/>
      <c r="W8" s="983"/>
      <c r="X8" s="983"/>
      <c r="Y8" s="983"/>
    </row>
    <row r="9" spans="1:31" ht="30.75" customHeight="1" x14ac:dyDescent="0.3">
      <c r="A9" s="235"/>
      <c r="B9" s="13" t="s">
        <v>545</v>
      </c>
      <c r="C9" s="24"/>
      <c r="D9" s="2223" t="s">
        <v>1116</v>
      </c>
      <c r="E9" s="983"/>
      <c r="F9" s="983"/>
      <c r="G9" s="983"/>
      <c r="H9" s="983"/>
      <c r="I9" s="983"/>
      <c r="J9" s="983"/>
      <c r="K9" s="983"/>
      <c r="L9" s="983"/>
      <c r="M9" s="983"/>
      <c r="N9" s="983"/>
      <c r="O9" s="983"/>
      <c r="P9" s="983"/>
      <c r="Q9" s="983"/>
      <c r="R9" s="983"/>
      <c r="S9" s="983"/>
      <c r="T9" s="983"/>
      <c r="U9" s="983"/>
      <c r="V9" s="2229"/>
      <c r="W9" s="983"/>
      <c r="X9" s="983"/>
      <c r="Y9" s="983"/>
    </row>
    <row r="10" spans="1:31" ht="22.5" customHeight="1" x14ac:dyDescent="0.3">
      <c r="A10" s="12"/>
      <c r="B10" s="13"/>
      <c r="C10" s="9"/>
      <c r="D10" s="9"/>
      <c r="E10" s="9"/>
      <c r="F10" s="9"/>
      <c r="G10" s="9"/>
      <c r="H10" s="9"/>
      <c r="I10" s="9"/>
      <c r="J10" s="9"/>
      <c r="K10" s="9"/>
      <c r="L10" s="9"/>
      <c r="M10" s="9"/>
      <c r="N10" s="9"/>
      <c r="O10" s="9"/>
      <c r="P10" s="9"/>
      <c r="Q10" s="9"/>
      <c r="R10" s="9"/>
      <c r="S10" s="9"/>
      <c r="T10" s="9"/>
      <c r="U10" s="9"/>
      <c r="V10" s="17"/>
      <c r="W10" s="11"/>
      <c r="X10" s="11"/>
      <c r="Y10" s="983"/>
    </row>
    <row r="11" spans="1:31" ht="35.25" customHeight="1" x14ac:dyDescent="0.35">
      <c r="A11" s="12"/>
      <c r="B11" s="14" t="s">
        <v>2</v>
      </c>
      <c r="C11" s="2641"/>
      <c r="D11" s="2641"/>
      <c r="E11" s="2641"/>
      <c r="F11" s="2641"/>
      <c r="G11" s="2641"/>
      <c r="H11" s="2641"/>
      <c r="I11" s="2641"/>
      <c r="J11" s="2641"/>
      <c r="K11" s="2641"/>
      <c r="L11" s="2641"/>
      <c r="M11" s="2641"/>
      <c r="N11" s="2641"/>
      <c r="O11" s="2641"/>
      <c r="P11" s="2641"/>
      <c r="Q11" s="2641"/>
      <c r="R11" s="2641"/>
      <c r="S11" s="2641"/>
      <c r="T11" s="2641"/>
      <c r="U11" s="2641"/>
      <c r="V11" s="2741"/>
      <c r="W11" s="11"/>
      <c r="X11" s="11"/>
      <c r="Y11" s="983"/>
    </row>
    <row r="12" spans="1:31" ht="29.25" customHeight="1" x14ac:dyDescent="0.3">
      <c r="A12" s="12"/>
      <c r="B12" s="15">
        <v>1</v>
      </c>
      <c r="C12" s="2666" t="s">
        <v>3</v>
      </c>
      <c r="D12" s="2641"/>
      <c r="E12" s="2641"/>
      <c r="F12" s="2641"/>
      <c r="G12" s="2641"/>
      <c r="H12" s="2641"/>
      <c r="I12" s="2641"/>
      <c r="J12" s="2641"/>
      <c r="K12" s="2641"/>
      <c r="L12" s="2641"/>
      <c r="M12" s="2641"/>
      <c r="N12" s="2641"/>
      <c r="O12" s="2641"/>
      <c r="P12" s="2641"/>
      <c r="Q12" s="2641"/>
      <c r="R12" s="2641"/>
      <c r="S12" s="2641"/>
      <c r="T12" s="2641"/>
      <c r="U12" s="2641"/>
      <c r="V12" s="2741"/>
      <c r="W12" s="11"/>
      <c r="X12" s="11"/>
      <c r="Y12" s="983"/>
    </row>
    <row r="13" spans="1:31" ht="24" customHeight="1" x14ac:dyDescent="0.3">
      <c r="A13" s="12"/>
      <c r="B13" s="16">
        <v>2</v>
      </c>
      <c r="C13" s="2666" t="s">
        <v>4</v>
      </c>
      <c r="D13" s="2641"/>
      <c r="E13" s="2641"/>
      <c r="F13" s="2641"/>
      <c r="G13" s="2641"/>
      <c r="H13" s="2641"/>
      <c r="I13" s="2641"/>
      <c r="J13" s="2641"/>
      <c r="K13" s="2641"/>
      <c r="L13" s="2641"/>
      <c r="M13" s="2641"/>
      <c r="N13" s="2641"/>
      <c r="O13" s="2641"/>
      <c r="P13" s="2641"/>
      <c r="Q13" s="2641"/>
      <c r="R13" s="2641"/>
      <c r="S13" s="2641"/>
      <c r="T13" s="2641"/>
      <c r="U13" s="2641"/>
      <c r="V13" s="2741"/>
      <c r="W13" s="11"/>
      <c r="X13" s="11"/>
      <c r="Y13" s="983"/>
    </row>
    <row r="14" spans="1:31" ht="26.25" customHeight="1" x14ac:dyDescent="0.3">
      <c r="A14" s="12"/>
      <c r="B14" s="16">
        <v>3</v>
      </c>
      <c r="C14" s="2666" t="s">
        <v>5</v>
      </c>
      <c r="D14" s="2641"/>
      <c r="E14" s="2641"/>
      <c r="F14" s="2641"/>
      <c r="G14" s="2641"/>
      <c r="H14" s="2641"/>
      <c r="I14" s="2641"/>
      <c r="J14" s="2641"/>
      <c r="K14" s="2641"/>
      <c r="L14" s="2641"/>
      <c r="M14" s="2641"/>
      <c r="N14" s="2641"/>
      <c r="O14" s="2641"/>
      <c r="P14" s="2641"/>
      <c r="Q14" s="2641"/>
      <c r="R14" s="2641"/>
      <c r="S14" s="2641"/>
      <c r="T14" s="2641"/>
      <c r="U14" s="2641"/>
      <c r="V14" s="2741"/>
      <c r="W14" s="11"/>
      <c r="X14" s="11"/>
      <c r="Y14" s="983"/>
    </row>
    <row r="15" spans="1:31" ht="24" customHeight="1" x14ac:dyDescent="0.3">
      <c r="A15" s="12"/>
      <c r="B15" s="16">
        <v>4</v>
      </c>
      <c r="C15" s="2666" t="s">
        <v>6</v>
      </c>
      <c r="D15" s="2641"/>
      <c r="E15" s="2641"/>
      <c r="F15" s="2641"/>
      <c r="G15" s="2641"/>
      <c r="H15" s="2641"/>
      <c r="I15" s="2641"/>
      <c r="J15" s="2641"/>
      <c r="K15" s="2641"/>
      <c r="L15" s="2641"/>
      <c r="M15" s="2641"/>
      <c r="N15" s="2641"/>
      <c r="O15" s="2641"/>
      <c r="P15" s="2641"/>
      <c r="Q15" s="2641"/>
      <c r="R15" s="2641"/>
      <c r="S15" s="2641"/>
      <c r="T15" s="2641"/>
      <c r="U15" s="2641"/>
      <c r="V15" s="2741"/>
      <c r="W15" s="11"/>
      <c r="X15" s="11"/>
      <c r="Y15" s="983"/>
    </row>
    <row r="16" spans="1:31" ht="24.75" customHeight="1" x14ac:dyDescent="0.3">
      <c r="A16" s="12"/>
      <c r="B16" s="13"/>
      <c r="C16" s="9"/>
      <c r="D16" s="9"/>
      <c r="E16" s="9"/>
      <c r="F16" s="9"/>
      <c r="G16" s="9"/>
      <c r="H16" s="9"/>
      <c r="I16" s="9"/>
      <c r="J16" s="9"/>
      <c r="K16" s="9"/>
      <c r="L16" s="9"/>
      <c r="M16" s="9"/>
      <c r="N16" s="9"/>
      <c r="O16" s="9"/>
      <c r="P16" s="9"/>
      <c r="Q16" s="9"/>
      <c r="R16" s="9"/>
      <c r="S16" s="9"/>
      <c r="T16" s="9"/>
      <c r="U16" s="9"/>
      <c r="V16" s="17"/>
      <c r="W16" s="9"/>
      <c r="X16" s="9"/>
      <c r="Y16" s="9"/>
    </row>
    <row r="17" spans="1:25" ht="39" customHeight="1" x14ac:dyDescent="0.35">
      <c r="A17" s="12"/>
      <c r="B17" s="14" t="s">
        <v>7</v>
      </c>
      <c r="C17" s="2641"/>
      <c r="D17" s="2641"/>
      <c r="E17" s="2641"/>
      <c r="F17" s="2641"/>
      <c r="G17" s="2641"/>
      <c r="H17" s="2641"/>
      <c r="I17" s="2641"/>
      <c r="J17" s="2641"/>
      <c r="K17" s="2641"/>
      <c r="L17" s="2641"/>
      <c r="M17" s="2641"/>
      <c r="N17" s="2641"/>
      <c r="O17" s="2641"/>
      <c r="P17" s="2641"/>
      <c r="Q17" s="2641"/>
      <c r="R17" s="2641"/>
      <c r="S17" s="2641"/>
      <c r="T17" s="2641"/>
      <c r="U17" s="2641"/>
      <c r="V17" s="2741"/>
      <c r="W17" s="11"/>
      <c r="X17" s="11"/>
      <c r="Y17" s="983"/>
    </row>
    <row r="18" spans="1:25" ht="29.25" customHeight="1" x14ac:dyDescent="0.3">
      <c r="A18" s="12"/>
      <c r="B18" s="15">
        <v>1</v>
      </c>
      <c r="C18" s="2666" t="s">
        <v>3</v>
      </c>
      <c r="D18" s="2641"/>
      <c r="E18" s="2641"/>
      <c r="F18" s="2641"/>
      <c r="G18" s="2641"/>
      <c r="H18" s="2641"/>
      <c r="I18" s="2641"/>
      <c r="J18" s="2641"/>
      <c r="K18" s="2641"/>
      <c r="L18" s="2641"/>
      <c r="M18" s="2641"/>
      <c r="N18" s="2641"/>
      <c r="O18" s="2641"/>
      <c r="P18" s="2641"/>
      <c r="Q18" s="2641"/>
      <c r="R18" s="2641"/>
      <c r="S18" s="2641"/>
      <c r="T18" s="2641"/>
      <c r="U18" s="2641"/>
      <c r="V18" s="2741"/>
      <c r="W18" s="11"/>
      <c r="X18" s="11"/>
      <c r="Y18" s="983"/>
    </row>
    <row r="19" spans="1:25" ht="27.75" customHeight="1" x14ac:dyDescent="0.3">
      <c r="A19" s="12"/>
      <c r="B19" s="16">
        <v>2</v>
      </c>
      <c r="C19" s="2666" t="s">
        <v>4</v>
      </c>
      <c r="D19" s="2641"/>
      <c r="E19" s="2641"/>
      <c r="F19" s="2641"/>
      <c r="G19" s="2641"/>
      <c r="H19" s="2641"/>
      <c r="I19" s="2641"/>
      <c r="J19" s="2641"/>
      <c r="K19" s="2641"/>
      <c r="L19" s="2641"/>
      <c r="M19" s="2641"/>
      <c r="N19" s="2641"/>
      <c r="O19" s="2641"/>
      <c r="P19" s="2641"/>
      <c r="Q19" s="2641"/>
      <c r="R19" s="2641"/>
      <c r="S19" s="2641"/>
      <c r="T19" s="2641"/>
      <c r="U19" s="2641"/>
      <c r="V19" s="2741"/>
      <c r="W19" s="11"/>
      <c r="X19" s="11"/>
      <c r="Y19" s="983"/>
    </row>
    <row r="20" spans="1:25" ht="31.5" customHeight="1" x14ac:dyDescent="0.3">
      <c r="A20" s="12"/>
      <c r="B20" s="16">
        <v>3</v>
      </c>
      <c r="C20" s="2666" t="s">
        <v>5</v>
      </c>
      <c r="D20" s="2641"/>
      <c r="E20" s="2641"/>
      <c r="F20" s="2641"/>
      <c r="G20" s="2641"/>
      <c r="H20" s="2641"/>
      <c r="I20" s="2641"/>
      <c r="J20" s="2641"/>
      <c r="K20" s="2641"/>
      <c r="L20" s="2641"/>
      <c r="M20" s="2641"/>
      <c r="N20" s="2641"/>
      <c r="O20" s="2641"/>
      <c r="P20" s="2641"/>
      <c r="Q20" s="2641"/>
      <c r="R20" s="2641"/>
      <c r="S20" s="2641"/>
      <c r="T20" s="2641"/>
      <c r="U20" s="2641"/>
      <c r="V20" s="2741"/>
      <c r="W20" s="11"/>
      <c r="X20" s="11"/>
      <c r="Y20" s="983"/>
    </row>
    <row r="21" spans="1:25" ht="24" customHeight="1" x14ac:dyDescent="0.3">
      <c r="A21" s="12"/>
      <c r="B21" s="16">
        <v>4</v>
      </c>
      <c r="C21" s="2666" t="s">
        <v>6</v>
      </c>
      <c r="D21" s="2641"/>
      <c r="E21" s="2641"/>
      <c r="F21" s="2641"/>
      <c r="G21" s="2641"/>
      <c r="H21" s="2641"/>
      <c r="I21" s="2641"/>
      <c r="J21" s="2641"/>
      <c r="K21" s="2641"/>
      <c r="L21" s="2641"/>
      <c r="M21" s="2641"/>
      <c r="N21" s="2641"/>
      <c r="O21" s="2641"/>
      <c r="P21" s="2641"/>
      <c r="Q21" s="2641"/>
      <c r="R21" s="2641"/>
      <c r="S21" s="2641"/>
      <c r="T21" s="2641"/>
      <c r="U21" s="2641"/>
      <c r="V21" s="2741"/>
      <c r="W21" s="11"/>
      <c r="X21" s="11"/>
      <c r="Y21" s="983"/>
    </row>
    <row r="22" spans="1:25" ht="30.75" customHeight="1" x14ac:dyDescent="0.35">
      <c r="A22" s="12"/>
      <c r="B22" s="14"/>
      <c r="C22" s="11"/>
      <c r="D22" s="11"/>
      <c r="E22" s="983"/>
      <c r="F22" s="983"/>
      <c r="G22" s="983"/>
      <c r="H22" s="983"/>
      <c r="I22" s="983"/>
      <c r="J22" s="983"/>
      <c r="K22" s="983"/>
      <c r="L22" s="983"/>
      <c r="M22" s="983"/>
      <c r="N22" s="983"/>
      <c r="O22" s="983"/>
      <c r="P22" s="11"/>
      <c r="Q22" s="11"/>
      <c r="R22" s="11"/>
      <c r="S22" s="11"/>
      <c r="T22" s="438"/>
      <c r="U22" s="11"/>
      <c r="V22" s="18"/>
      <c r="W22" s="11"/>
      <c r="X22" s="11"/>
      <c r="Y22" s="983"/>
    </row>
    <row r="23" spans="1:25" ht="33.75" customHeight="1" x14ac:dyDescent="0.3">
      <c r="A23" s="6"/>
      <c r="B23" s="13" t="s">
        <v>8</v>
      </c>
      <c r="C23" s="2650"/>
      <c r="D23" s="2650"/>
      <c r="E23" s="2650"/>
      <c r="F23" s="2650"/>
      <c r="G23" s="2650"/>
      <c r="H23" s="2650"/>
      <c r="I23" s="2650"/>
      <c r="J23" s="2650"/>
      <c r="K23" s="2650"/>
      <c r="L23" s="2650"/>
      <c r="M23" s="2650"/>
      <c r="N23" s="2650"/>
      <c r="O23" s="2650"/>
      <c r="P23" s="2650"/>
      <c r="Q23" s="2650"/>
      <c r="R23" s="2650"/>
      <c r="S23" s="2650"/>
      <c r="T23" s="2650"/>
      <c r="U23" s="2650"/>
      <c r="V23" s="2746"/>
      <c r="W23" s="19"/>
      <c r="X23" s="19"/>
      <c r="Y23" s="985"/>
    </row>
    <row r="24" spans="1:25" ht="35.25" customHeight="1" x14ac:dyDescent="0.3">
      <c r="A24" s="6"/>
      <c r="B24" s="15">
        <v>1</v>
      </c>
      <c r="C24" s="2666" t="s">
        <v>9</v>
      </c>
      <c r="D24" s="2641"/>
      <c r="E24" s="2641"/>
      <c r="F24" s="2641"/>
      <c r="G24" s="2641"/>
      <c r="H24" s="2641"/>
      <c r="I24" s="2641"/>
      <c r="J24" s="2641"/>
      <c r="K24" s="2641"/>
      <c r="L24" s="2641"/>
      <c r="M24" s="2641"/>
      <c r="N24" s="2641"/>
      <c r="O24" s="2641"/>
      <c r="P24" s="2641"/>
      <c r="Q24" s="2641"/>
      <c r="R24" s="2641"/>
      <c r="S24" s="2641"/>
      <c r="T24" s="2641"/>
      <c r="U24" s="2641"/>
      <c r="V24" s="2741"/>
      <c r="W24" s="11"/>
      <c r="X24" s="11"/>
      <c r="Y24" s="983"/>
    </row>
    <row r="25" spans="1:25" ht="33.75" customHeight="1" x14ac:dyDescent="0.3">
      <c r="A25" s="6"/>
      <c r="B25" s="16">
        <v>2</v>
      </c>
      <c r="C25" s="2666" t="s">
        <v>10</v>
      </c>
      <c r="D25" s="2641"/>
      <c r="E25" s="2641"/>
      <c r="F25" s="2641"/>
      <c r="G25" s="2641"/>
      <c r="H25" s="2641"/>
      <c r="I25" s="2641"/>
      <c r="J25" s="2641"/>
      <c r="K25" s="2641"/>
      <c r="L25" s="2641"/>
      <c r="M25" s="2641"/>
      <c r="N25" s="2641"/>
      <c r="O25" s="2641"/>
      <c r="P25" s="2641"/>
      <c r="Q25" s="2641"/>
      <c r="R25" s="2641"/>
      <c r="S25" s="2641"/>
      <c r="T25" s="2641"/>
      <c r="U25" s="2641"/>
      <c r="V25" s="2741"/>
      <c r="W25" s="11"/>
      <c r="X25" s="11"/>
      <c r="Y25" s="983"/>
    </row>
    <row r="26" spans="1:25" ht="30" customHeight="1" x14ac:dyDescent="0.3">
      <c r="A26" s="6"/>
      <c r="B26" s="16">
        <v>3</v>
      </c>
      <c r="C26" s="2666" t="s">
        <v>11</v>
      </c>
      <c r="D26" s="2641"/>
      <c r="E26" s="2641"/>
      <c r="F26" s="2641"/>
      <c r="G26" s="2641"/>
      <c r="H26" s="2641"/>
      <c r="I26" s="2641"/>
      <c r="J26" s="2641"/>
      <c r="K26" s="2641"/>
      <c r="L26" s="2641"/>
      <c r="M26" s="2641"/>
      <c r="N26" s="2641"/>
      <c r="O26" s="2641"/>
      <c r="P26" s="2641"/>
      <c r="Q26" s="2641"/>
      <c r="R26" s="2641"/>
      <c r="S26" s="2641"/>
      <c r="T26" s="2641"/>
      <c r="U26" s="2641"/>
      <c r="V26" s="2741"/>
      <c r="W26" s="11"/>
      <c r="X26" s="11"/>
      <c r="Y26" s="983"/>
    </row>
    <row r="27" spans="1:25" ht="35.25" customHeight="1" x14ac:dyDescent="0.3">
      <c r="A27" s="6"/>
      <c r="B27" s="16">
        <v>4</v>
      </c>
      <c r="C27" s="2666" t="s">
        <v>12</v>
      </c>
      <c r="D27" s="2641"/>
      <c r="E27" s="2641"/>
      <c r="F27" s="2641"/>
      <c r="G27" s="2641"/>
      <c r="H27" s="2641"/>
      <c r="I27" s="2641"/>
      <c r="J27" s="2641"/>
      <c r="K27" s="2641"/>
      <c r="L27" s="2641"/>
      <c r="M27" s="2641"/>
      <c r="N27" s="2641"/>
      <c r="O27" s="2641"/>
      <c r="P27" s="2641"/>
      <c r="Q27" s="2641"/>
      <c r="R27" s="2641"/>
      <c r="S27" s="2641"/>
      <c r="T27" s="2641"/>
      <c r="U27" s="2641"/>
      <c r="V27" s="2741"/>
      <c r="W27" s="11"/>
      <c r="X27" s="11"/>
      <c r="Y27" s="983"/>
    </row>
    <row r="28" spans="1:25" ht="30" customHeight="1" x14ac:dyDescent="0.3">
      <c r="A28" s="6"/>
      <c r="B28" s="16"/>
      <c r="C28" s="20"/>
      <c r="D28" s="20"/>
      <c r="E28" s="20"/>
      <c r="F28" s="20"/>
      <c r="G28" s="20"/>
      <c r="H28" s="20"/>
      <c r="I28" s="20"/>
      <c r="J28" s="20"/>
      <c r="K28" s="20"/>
      <c r="L28" s="20"/>
      <c r="M28" s="20"/>
      <c r="N28" s="20"/>
      <c r="O28" s="20"/>
      <c r="P28" s="20"/>
      <c r="Q28" s="20"/>
      <c r="R28" s="20"/>
      <c r="S28" s="20"/>
      <c r="T28" s="20"/>
      <c r="U28" s="20"/>
      <c r="V28" s="21"/>
      <c r="W28" s="20"/>
      <c r="X28" s="20"/>
      <c r="Y28" s="20"/>
    </row>
    <row r="29" spans="1:25" ht="38.25" customHeight="1" x14ac:dyDescent="0.3">
      <c r="A29" s="22"/>
      <c r="B29" s="23" t="s">
        <v>13</v>
      </c>
      <c r="C29" s="2666" t="s">
        <v>14</v>
      </c>
      <c r="D29" s="2641"/>
      <c r="E29" s="2641"/>
      <c r="F29" s="2641"/>
      <c r="G29" s="2641"/>
      <c r="H29" s="2641"/>
      <c r="I29" s="2641"/>
      <c r="J29" s="2641"/>
      <c r="K29" s="2641"/>
      <c r="L29" s="2641"/>
      <c r="M29" s="2641"/>
      <c r="N29" s="2641"/>
      <c r="O29" s="2641"/>
      <c r="P29" s="2641"/>
      <c r="Q29" s="2641"/>
      <c r="R29" s="2641"/>
      <c r="S29" s="2641"/>
      <c r="T29" s="2641"/>
      <c r="U29" s="2641"/>
      <c r="V29" s="2741"/>
      <c r="W29" s="11"/>
      <c r="X29" s="11"/>
      <c r="Y29" s="983"/>
    </row>
    <row r="30" spans="1:25" ht="23.25" customHeight="1" x14ac:dyDescent="0.3">
      <c r="A30" s="22"/>
      <c r="B30" s="23"/>
      <c r="C30" s="24"/>
      <c r="D30" s="25"/>
      <c r="E30" s="25"/>
      <c r="F30" s="25"/>
      <c r="G30" s="25"/>
      <c r="H30" s="25"/>
      <c r="I30" s="25"/>
      <c r="J30" s="25"/>
      <c r="K30" s="25"/>
      <c r="L30" s="25"/>
      <c r="M30" s="25"/>
      <c r="N30" s="25"/>
      <c r="O30" s="25"/>
      <c r="P30" s="26"/>
      <c r="Q30" s="26"/>
      <c r="R30" s="26"/>
      <c r="S30" s="26"/>
      <c r="T30" s="26"/>
      <c r="U30" s="26"/>
      <c r="V30" s="27"/>
      <c r="W30" s="26"/>
      <c r="X30" s="26"/>
      <c r="Y30" s="26"/>
    </row>
    <row r="31" spans="1:25" ht="42" customHeight="1" x14ac:dyDescent="0.3">
      <c r="A31" s="22"/>
      <c r="B31" s="23" t="s">
        <v>15</v>
      </c>
      <c r="C31" s="2666" t="s">
        <v>16</v>
      </c>
      <c r="D31" s="2641"/>
      <c r="E31" s="2641"/>
      <c r="F31" s="2641"/>
      <c r="G31" s="2641"/>
      <c r="H31" s="2641"/>
      <c r="I31" s="2641"/>
      <c r="J31" s="2641"/>
      <c r="K31" s="2641"/>
      <c r="L31" s="2641"/>
      <c r="M31" s="2641"/>
      <c r="N31" s="2641"/>
      <c r="O31" s="2641"/>
      <c r="P31" s="2641"/>
      <c r="Q31" s="2641"/>
      <c r="R31" s="2641"/>
      <c r="S31" s="2641"/>
      <c r="T31" s="2641"/>
      <c r="U31" s="2641"/>
      <c r="V31" s="2741"/>
      <c r="W31" s="11"/>
      <c r="X31" s="11"/>
      <c r="Y31" s="983"/>
    </row>
    <row r="32" spans="1:25" ht="23.25" customHeight="1" thickBot="1" x14ac:dyDescent="0.35">
      <c r="A32" s="22"/>
      <c r="B32" s="28"/>
      <c r="C32" s="29"/>
      <c r="D32" s="30"/>
      <c r="E32" s="1090"/>
      <c r="F32" s="1090"/>
      <c r="G32" s="1090"/>
      <c r="H32" s="1090"/>
      <c r="I32" s="1090"/>
      <c r="J32" s="1090"/>
      <c r="K32" s="1090"/>
      <c r="L32" s="1090"/>
      <c r="M32" s="1090"/>
      <c r="N32" s="1090"/>
      <c r="O32" s="1090"/>
      <c r="P32" s="31"/>
      <c r="Q32" s="31"/>
      <c r="R32" s="31"/>
      <c r="S32" s="31"/>
      <c r="T32" s="240"/>
      <c r="U32" s="31"/>
      <c r="V32" s="32"/>
      <c r="W32" s="26"/>
      <c r="X32" s="26"/>
      <c r="Y32" s="26"/>
    </row>
    <row r="33" spans="1:25" ht="23.25" customHeight="1" x14ac:dyDescent="0.3">
      <c r="A33" s="22"/>
      <c r="B33" s="23" t="s">
        <v>17</v>
      </c>
      <c r="C33" s="24"/>
      <c r="D33" s="25"/>
      <c r="E33" s="25"/>
      <c r="F33" s="25"/>
      <c r="G33" s="25"/>
      <c r="H33" s="25"/>
      <c r="I33" s="25"/>
      <c r="J33" s="25"/>
      <c r="K33" s="25"/>
      <c r="L33" s="25"/>
      <c r="M33" s="25"/>
      <c r="N33" s="25"/>
      <c r="O33" s="25"/>
      <c r="P33" s="26"/>
      <c r="Q33" s="26"/>
      <c r="R33" s="26"/>
      <c r="S33" s="26"/>
      <c r="T33" s="26"/>
      <c r="U33" s="26"/>
      <c r="V33" s="27"/>
      <c r="W33" s="26"/>
      <c r="X33" s="26"/>
      <c r="Y33" s="26"/>
    </row>
    <row r="34" spans="1:25" ht="136.5" customHeight="1" x14ac:dyDescent="0.3">
      <c r="A34" s="22"/>
      <c r="B34" s="2683" t="s">
        <v>18</v>
      </c>
      <c r="C34" s="2641"/>
      <c r="D34" s="2641"/>
      <c r="E34" s="2641"/>
      <c r="F34" s="2641"/>
      <c r="G34" s="2641"/>
      <c r="H34" s="2641"/>
      <c r="I34" s="2641"/>
      <c r="J34" s="2641"/>
      <c r="K34" s="2641"/>
      <c r="L34" s="2641"/>
      <c r="M34" s="2641"/>
      <c r="N34" s="2641"/>
      <c r="O34" s="2641"/>
      <c r="P34" s="2641"/>
      <c r="Q34" s="2641"/>
      <c r="R34" s="2641"/>
      <c r="S34" s="2641"/>
      <c r="T34" s="2641"/>
      <c r="U34" s="2641"/>
      <c r="V34" s="2741"/>
      <c r="W34" s="11"/>
      <c r="X34" s="11"/>
      <c r="Y34" s="983"/>
    </row>
    <row r="35" spans="1:25" ht="23.25" customHeight="1" x14ac:dyDescent="0.3">
      <c r="A35" s="22"/>
      <c r="B35" s="23"/>
      <c r="C35" s="24"/>
      <c r="D35" s="25"/>
      <c r="E35" s="25"/>
      <c r="F35" s="26"/>
      <c r="G35" s="26"/>
      <c r="H35" s="26"/>
      <c r="I35" s="26"/>
      <c r="J35" s="26"/>
      <c r="K35" s="25"/>
      <c r="L35" s="25"/>
      <c r="M35" s="25"/>
      <c r="N35" s="25"/>
      <c r="O35" s="25"/>
      <c r="P35" s="26"/>
      <c r="Q35" s="26"/>
      <c r="R35" s="26"/>
      <c r="S35" s="26"/>
      <c r="T35" s="26"/>
      <c r="U35" s="26"/>
      <c r="V35" s="27"/>
      <c r="W35" s="26"/>
      <c r="X35" s="26"/>
      <c r="Y35" s="26"/>
    </row>
    <row r="36" spans="1:25" ht="23.25" customHeight="1" thickBot="1" x14ac:dyDescent="0.35">
      <c r="A36" s="236"/>
      <c r="B36" s="23"/>
      <c r="C36" s="24"/>
      <c r="D36" s="25"/>
      <c r="E36" s="25"/>
      <c r="F36" s="26"/>
      <c r="G36" s="26"/>
      <c r="H36" s="26"/>
      <c r="I36" s="2464" t="s">
        <v>437</v>
      </c>
      <c r="J36" s="2464" t="s">
        <v>1125</v>
      </c>
      <c r="K36" s="25"/>
      <c r="L36" s="25"/>
      <c r="M36" s="25"/>
      <c r="N36" s="25"/>
      <c r="O36" s="25"/>
      <c r="P36" s="26"/>
      <c r="Q36" s="26"/>
      <c r="R36" s="26"/>
      <c r="S36" s="26"/>
      <c r="T36" s="26"/>
      <c r="U36" s="26"/>
      <c r="V36" s="256"/>
      <c r="W36" s="26"/>
      <c r="X36" s="26"/>
      <c r="Y36" s="26"/>
    </row>
    <row r="37" spans="1:25" ht="30" customHeight="1" x14ac:dyDescent="0.3">
      <c r="A37" s="22"/>
      <c r="B37" s="33" t="s">
        <v>1096</v>
      </c>
      <c r="C37" s="34"/>
      <c r="D37" s="35"/>
      <c r="E37" s="25"/>
      <c r="F37" s="36" t="s">
        <v>19</v>
      </c>
      <c r="G37" s="37"/>
      <c r="H37" s="2465" t="s">
        <v>847</v>
      </c>
      <c r="I37" s="2466">
        <f>J302</f>
        <v>6295825.2119999994</v>
      </c>
      <c r="J37" s="2460">
        <f>I37/1.1317</f>
        <v>5563157.3844658472</v>
      </c>
      <c r="K37" s="25"/>
      <c r="L37" s="25"/>
      <c r="M37" s="25"/>
      <c r="N37" s="25"/>
      <c r="O37" s="25"/>
      <c r="P37" s="26"/>
      <c r="Q37" s="42"/>
      <c r="R37" s="42"/>
      <c r="S37" s="42"/>
      <c r="T37" s="42"/>
      <c r="U37" s="42"/>
      <c r="V37" s="27"/>
      <c r="W37" s="26"/>
      <c r="X37" s="26"/>
      <c r="Y37" s="26"/>
    </row>
    <row r="38" spans="1:25" ht="23.25" customHeight="1" x14ac:dyDescent="0.3">
      <c r="A38" s="22"/>
      <c r="B38" s="38" t="s">
        <v>20</v>
      </c>
      <c r="C38" s="39"/>
      <c r="D38" s="40"/>
      <c r="E38" s="25"/>
      <c r="F38" s="41" t="s">
        <v>21</v>
      </c>
      <c r="G38" s="42"/>
      <c r="H38" s="2468" t="s">
        <v>847</v>
      </c>
      <c r="I38" s="2467">
        <f>H302</f>
        <v>5246521.01</v>
      </c>
      <c r="J38" s="2461">
        <f>I38/1.1317</f>
        <v>4635964.4870548733</v>
      </c>
      <c r="K38" s="25"/>
      <c r="L38" s="25"/>
      <c r="M38" s="25"/>
      <c r="N38" s="25"/>
      <c r="O38" s="25"/>
      <c r="P38" s="26"/>
      <c r="Q38" s="42"/>
      <c r="R38" s="42"/>
      <c r="S38" s="42"/>
      <c r="T38" s="42"/>
      <c r="U38" s="42"/>
      <c r="V38" s="27"/>
      <c r="W38" s="26"/>
      <c r="X38" s="26"/>
      <c r="Y38" s="26"/>
    </row>
    <row r="39" spans="1:25" ht="23.25" customHeight="1" x14ac:dyDescent="0.3">
      <c r="A39" s="22"/>
      <c r="B39" s="38" t="s">
        <v>22</v>
      </c>
      <c r="C39" s="43"/>
      <c r="D39" s="44"/>
      <c r="E39" s="25"/>
      <c r="F39" s="41"/>
      <c r="G39" s="41" t="s">
        <v>23</v>
      </c>
      <c r="H39" s="2468"/>
      <c r="I39" s="2467">
        <f>G302</f>
        <v>1500000</v>
      </c>
      <c r="J39" s="2461">
        <f t="shared" ref="J39:J44" si="0">I39/1.1317</f>
        <v>1325439.6041353717</v>
      </c>
      <c r="K39" s="25"/>
      <c r="L39" s="25"/>
      <c r="M39" s="25"/>
      <c r="N39" s="25"/>
      <c r="O39" s="25"/>
      <c r="P39" s="26"/>
      <c r="Q39" s="42"/>
      <c r="R39" s="42"/>
      <c r="S39" s="42"/>
      <c r="T39" s="42"/>
      <c r="U39" s="42"/>
      <c r="V39" s="27"/>
      <c r="W39" s="26"/>
      <c r="X39" s="26"/>
      <c r="Y39" s="26"/>
    </row>
    <row r="40" spans="1:25" ht="23.25" customHeight="1" x14ac:dyDescent="0.3">
      <c r="A40" s="22"/>
      <c r="B40" s="38" t="s">
        <v>24</v>
      </c>
      <c r="C40" s="246" t="s">
        <v>852</v>
      </c>
      <c r="D40" s="245"/>
      <c r="E40" s="25"/>
      <c r="F40" s="41" t="s">
        <v>25</v>
      </c>
      <c r="G40" s="42"/>
      <c r="H40" s="2468"/>
      <c r="I40" s="2467"/>
      <c r="J40" s="2461"/>
      <c r="K40" s="25"/>
      <c r="L40" s="25"/>
      <c r="M40" s="25"/>
      <c r="N40" s="25"/>
      <c r="O40" s="25"/>
      <c r="P40" s="26"/>
      <c r="Q40" s="42"/>
      <c r="R40" s="42"/>
      <c r="S40" s="42"/>
      <c r="T40" s="42"/>
      <c r="U40" s="42"/>
      <c r="V40" s="27"/>
      <c r="W40" s="26"/>
      <c r="X40" s="26"/>
      <c r="Y40" s="26"/>
    </row>
    <row r="41" spans="1:25" ht="23.25" customHeight="1" x14ac:dyDescent="0.3">
      <c r="A41" s="22"/>
      <c r="B41" s="38" t="s">
        <v>26</v>
      </c>
      <c r="C41" s="246" t="s">
        <v>851</v>
      </c>
      <c r="D41" s="245"/>
      <c r="E41" s="25"/>
      <c r="F41" s="41"/>
      <c r="G41" s="42" t="s">
        <v>28</v>
      </c>
      <c r="H41" s="2468"/>
      <c r="I41" s="2467">
        <f>F302</f>
        <v>2002713.21</v>
      </c>
      <c r="J41" s="2461">
        <f t="shared" si="0"/>
        <v>1769650.2695060528</v>
      </c>
      <c r="K41" s="25"/>
      <c r="L41" s="25"/>
      <c r="M41" s="25"/>
      <c r="N41" s="25"/>
      <c r="O41" s="25"/>
      <c r="P41" s="26"/>
      <c r="Q41" s="42"/>
      <c r="R41" s="42"/>
      <c r="S41" s="42"/>
      <c r="T41" s="42"/>
      <c r="U41" s="42"/>
      <c r="V41" s="27"/>
      <c r="W41" s="26"/>
      <c r="X41" s="26"/>
      <c r="Y41" s="26"/>
    </row>
    <row r="42" spans="1:25" ht="23.25" customHeight="1" x14ac:dyDescent="0.3">
      <c r="A42" s="22"/>
      <c r="B42" s="38" t="s">
        <v>29</v>
      </c>
      <c r="C42" s="43"/>
      <c r="D42" s="44"/>
      <c r="E42" s="25"/>
      <c r="F42" s="41"/>
      <c r="G42" s="42" t="s">
        <v>30</v>
      </c>
      <c r="H42" s="2468"/>
      <c r="I42" s="2467">
        <f>E302</f>
        <v>1743807.8</v>
      </c>
      <c r="J42" s="2461">
        <f t="shared" si="0"/>
        <v>1540874.6134134489</v>
      </c>
      <c r="K42" s="25"/>
      <c r="L42" s="25"/>
      <c r="M42" s="25"/>
      <c r="N42" s="25"/>
      <c r="O42" s="25"/>
      <c r="P42" s="26"/>
      <c r="Q42" s="42"/>
      <c r="R42" s="42"/>
      <c r="S42" s="42"/>
      <c r="T42" s="42"/>
      <c r="U42" s="42"/>
      <c r="V42" s="27"/>
      <c r="W42" s="26"/>
      <c r="X42" s="26"/>
      <c r="Y42" s="26"/>
    </row>
    <row r="43" spans="1:25" ht="23.25" customHeight="1" x14ac:dyDescent="0.3">
      <c r="A43" s="22"/>
      <c r="B43" s="38" t="s">
        <v>31</v>
      </c>
      <c r="C43" s="43"/>
      <c r="D43" s="44"/>
      <c r="E43" s="25"/>
      <c r="F43" s="41"/>
      <c r="G43" s="42" t="s">
        <v>32</v>
      </c>
      <c r="H43" s="2468"/>
      <c r="I43" s="2469">
        <f>I302</f>
        <v>1049304.202</v>
      </c>
      <c r="J43" s="2462">
        <f t="shared" si="0"/>
        <v>927192.89741097472</v>
      </c>
      <c r="K43" s="25"/>
      <c r="L43" s="25"/>
      <c r="M43" s="25"/>
      <c r="N43" s="25"/>
      <c r="O43" s="25"/>
      <c r="P43" s="26"/>
      <c r="Q43" s="42"/>
      <c r="R43" s="42"/>
      <c r="S43" s="42"/>
      <c r="T43" s="42"/>
      <c r="U43" s="42"/>
      <c r="V43" s="27"/>
      <c r="W43" s="26"/>
      <c r="X43" s="26"/>
      <c r="Y43" s="26"/>
    </row>
    <row r="44" spans="1:25" ht="23.25" customHeight="1" x14ac:dyDescent="0.3">
      <c r="A44" s="22"/>
      <c r="B44" s="23"/>
      <c r="C44" s="43"/>
      <c r="D44" s="44"/>
      <c r="E44" s="25"/>
      <c r="F44" s="41"/>
      <c r="G44" s="42" t="s">
        <v>571</v>
      </c>
      <c r="H44" s="2468"/>
      <c r="I44" s="2470">
        <f>SUM(I39:I43)</f>
        <v>6295825.2119999994</v>
      </c>
      <c r="J44" s="2463">
        <f t="shared" si="0"/>
        <v>5563157.3844658472</v>
      </c>
      <c r="K44" s="25"/>
      <c r="L44" s="25"/>
      <c r="M44" s="25"/>
      <c r="N44" s="25"/>
      <c r="O44" s="25"/>
      <c r="P44" s="26"/>
      <c r="Q44" s="42"/>
      <c r="R44" s="42"/>
      <c r="S44" s="42"/>
      <c r="T44" s="42"/>
      <c r="U44" s="42"/>
      <c r="V44" s="27"/>
      <c r="W44" s="26"/>
      <c r="X44" s="26"/>
      <c r="Y44" s="26"/>
    </row>
    <row r="45" spans="1:25" ht="23.25" customHeight="1" x14ac:dyDescent="0.3">
      <c r="A45" s="22"/>
      <c r="B45" s="23"/>
      <c r="C45" s="43"/>
      <c r="D45" s="44"/>
      <c r="E45" s="25"/>
      <c r="F45" s="41" t="s">
        <v>34</v>
      </c>
      <c r="G45" s="42"/>
      <c r="H45" s="2468"/>
      <c r="I45" s="2471"/>
      <c r="J45" s="2459"/>
      <c r="K45" s="25"/>
      <c r="L45" s="25"/>
      <c r="M45" s="25"/>
      <c r="N45" s="25"/>
      <c r="O45" s="25"/>
      <c r="P45" s="26"/>
      <c r="Q45" s="42"/>
      <c r="R45" s="42"/>
      <c r="S45" s="42"/>
      <c r="T45" s="42"/>
      <c r="U45" s="42"/>
      <c r="V45" s="45"/>
      <c r="W45" s="42"/>
      <c r="X45" s="42"/>
      <c r="Y45" s="42"/>
    </row>
    <row r="46" spans="1:25" ht="23.25" customHeight="1" thickBot="1" x14ac:dyDescent="0.35">
      <c r="A46" s="22"/>
      <c r="B46" s="28"/>
      <c r="C46" s="46"/>
      <c r="D46" s="47"/>
      <c r="E46" s="25"/>
      <c r="F46" s="48" t="s">
        <v>35</v>
      </c>
      <c r="G46" s="441"/>
      <c r="H46" s="2472"/>
      <c r="I46" s="2473"/>
      <c r="J46" s="439"/>
      <c r="K46" s="25"/>
      <c r="L46" s="25"/>
      <c r="M46" s="25"/>
      <c r="N46" s="25"/>
      <c r="O46" s="25"/>
      <c r="P46" s="26"/>
      <c r="Q46" s="42"/>
      <c r="R46" s="42"/>
      <c r="S46" s="42"/>
      <c r="T46" s="42"/>
      <c r="U46" s="42"/>
      <c r="V46" s="45"/>
      <c r="W46" s="42"/>
      <c r="X46" s="42"/>
      <c r="Y46" s="42"/>
    </row>
    <row r="47" spans="1:25" ht="23.25" customHeight="1" x14ac:dyDescent="0.3">
      <c r="A47" s="22"/>
      <c r="B47" s="23"/>
      <c r="C47" s="24"/>
      <c r="D47" s="25"/>
      <c r="E47" s="25"/>
      <c r="F47" s="25"/>
      <c r="G47" s="25"/>
      <c r="H47" s="25"/>
      <c r="I47" s="25"/>
      <c r="J47" s="25"/>
      <c r="K47" s="25"/>
      <c r="L47" s="25"/>
      <c r="M47" s="25"/>
      <c r="N47" s="25"/>
      <c r="O47" s="25"/>
      <c r="P47" s="26"/>
      <c r="Q47" s="42"/>
      <c r="R47" s="42"/>
      <c r="S47" s="42"/>
      <c r="T47" s="42"/>
      <c r="U47" s="42"/>
      <c r="V47" s="45"/>
      <c r="W47" s="42"/>
      <c r="X47" s="42"/>
      <c r="Y47" s="42"/>
    </row>
    <row r="48" spans="1:25" ht="23.25" customHeight="1" x14ac:dyDescent="0.3">
      <c r="A48" s="22"/>
      <c r="B48" s="23"/>
      <c r="C48" s="24"/>
      <c r="D48" s="25"/>
      <c r="E48" s="25"/>
      <c r="F48" s="25"/>
      <c r="G48" s="25"/>
      <c r="H48" s="25"/>
      <c r="I48" s="25"/>
      <c r="J48" s="25"/>
      <c r="K48" s="25"/>
      <c r="L48" s="25"/>
      <c r="M48" s="25"/>
      <c r="N48" s="25"/>
      <c r="O48" s="25"/>
      <c r="P48" s="26"/>
      <c r="Q48" s="42"/>
      <c r="R48" s="42"/>
      <c r="S48" s="42"/>
      <c r="T48" s="42"/>
      <c r="U48" s="42"/>
      <c r="V48" s="45"/>
      <c r="W48" s="42"/>
      <c r="X48" s="42"/>
      <c r="Y48" s="42"/>
    </row>
    <row r="49" spans="1:31" ht="23.25" customHeight="1" x14ac:dyDescent="0.3">
      <c r="A49" s="22"/>
      <c r="B49" s="23"/>
      <c r="C49" s="24"/>
      <c r="D49" s="25"/>
      <c r="E49" s="25"/>
      <c r="F49" s="25"/>
      <c r="G49" s="25"/>
      <c r="H49" s="25"/>
      <c r="I49" s="25"/>
      <c r="J49" s="25"/>
      <c r="K49" s="25"/>
      <c r="L49" s="25"/>
      <c r="M49" s="25"/>
      <c r="N49" s="25"/>
      <c r="O49" s="25"/>
      <c r="P49" s="26"/>
      <c r="Q49" s="26"/>
      <c r="R49" s="26"/>
      <c r="S49" s="26"/>
      <c r="T49" s="26"/>
      <c r="U49" s="26"/>
      <c r="V49" s="27"/>
      <c r="W49" s="26"/>
      <c r="X49" s="26"/>
      <c r="Y49" s="26"/>
    </row>
    <row r="50" spans="1:31" ht="63" customHeight="1" thickBot="1" x14ac:dyDescent="0.35">
      <c r="A50" s="22"/>
      <c r="B50" s="23" t="s">
        <v>1119</v>
      </c>
      <c r="C50" s="49"/>
      <c r="D50" s="50"/>
      <c r="E50" s="9"/>
      <c r="F50" s="9"/>
      <c r="G50" s="9"/>
      <c r="H50" s="9"/>
      <c r="I50" s="9"/>
      <c r="J50" s="9"/>
      <c r="K50" s="9"/>
      <c r="L50" s="9"/>
      <c r="M50" s="9"/>
      <c r="N50" s="9"/>
      <c r="O50" s="9"/>
      <c r="P50" s="26"/>
      <c r="Q50" s="26"/>
      <c r="R50" s="26"/>
      <c r="S50" s="26"/>
      <c r="T50" s="26"/>
      <c r="U50" s="26"/>
      <c r="V50" s="27"/>
      <c r="W50" s="26"/>
      <c r="X50" s="26"/>
      <c r="Y50" s="26"/>
    </row>
    <row r="51" spans="1:31" ht="45" customHeight="1" x14ac:dyDescent="0.3">
      <c r="A51" s="22"/>
      <c r="B51" s="23"/>
      <c r="C51" s="53" t="s">
        <v>39</v>
      </c>
      <c r="D51" s="52"/>
      <c r="E51" s="9"/>
      <c r="F51" s="9"/>
      <c r="G51" s="9"/>
      <c r="H51" s="9"/>
      <c r="I51" s="9"/>
      <c r="J51" s="9"/>
      <c r="K51" s="9"/>
      <c r="L51" s="9"/>
      <c r="M51" s="9"/>
      <c r="N51" s="9"/>
      <c r="O51" s="9"/>
      <c r="P51" s="26"/>
      <c r="Q51" s="26"/>
      <c r="R51" s="26"/>
      <c r="S51" s="26"/>
      <c r="T51" s="26"/>
      <c r="U51" s="26"/>
      <c r="V51" s="27"/>
      <c r="W51" s="26"/>
      <c r="X51" s="26"/>
      <c r="Y51" s="26"/>
    </row>
    <row r="52" spans="1:31" ht="23.25" customHeight="1" x14ac:dyDescent="0.3">
      <c r="A52" s="22"/>
      <c r="B52" s="23"/>
      <c r="C52" s="53"/>
      <c r="D52" s="54"/>
      <c r="E52" s="54"/>
      <c r="F52" s="54"/>
      <c r="G52" s="54"/>
      <c r="H52" s="54"/>
      <c r="I52" s="54"/>
      <c r="J52" s="54"/>
      <c r="K52" s="54"/>
      <c r="L52" s="54"/>
      <c r="M52" s="54"/>
      <c r="N52" s="54"/>
      <c r="O52" s="54"/>
      <c r="P52" s="26"/>
      <c r="Q52" s="26"/>
      <c r="R52" s="26"/>
      <c r="S52" s="26"/>
      <c r="T52" s="26"/>
      <c r="U52" s="26"/>
      <c r="V52" s="27"/>
      <c r="W52" s="26"/>
      <c r="X52" s="26"/>
      <c r="Y52" s="26"/>
    </row>
    <row r="53" spans="1:31" ht="23.25" customHeight="1" x14ac:dyDescent="0.3">
      <c r="A53" s="22"/>
      <c r="B53" s="23"/>
      <c r="C53" s="53"/>
      <c r="D53" s="54"/>
      <c r="E53" s="54"/>
      <c r="F53" s="54"/>
      <c r="G53" s="54"/>
      <c r="H53" s="54"/>
      <c r="I53" s="54"/>
      <c r="J53" s="54"/>
      <c r="K53" s="54"/>
      <c r="L53" s="54"/>
      <c r="M53" s="54"/>
      <c r="N53" s="54"/>
      <c r="O53" s="54"/>
      <c r="P53" s="26"/>
      <c r="Q53" s="26"/>
      <c r="R53" s="26"/>
      <c r="S53" s="26"/>
      <c r="T53" s="26"/>
      <c r="U53" s="26"/>
      <c r="V53" s="27"/>
      <c r="W53" s="26"/>
      <c r="X53" s="26"/>
      <c r="Y53" s="26"/>
    </row>
    <row r="54" spans="1:31" ht="23.25" customHeight="1" x14ac:dyDescent="0.3">
      <c r="A54" s="22"/>
      <c r="B54" s="23"/>
      <c r="C54" s="53"/>
      <c r="D54" s="54"/>
      <c r="E54" s="54"/>
      <c r="F54" s="54"/>
      <c r="G54" s="54"/>
      <c r="H54" s="54"/>
      <c r="I54" s="54"/>
      <c r="J54" s="54"/>
      <c r="K54" s="54"/>
      <c r="L54" s="54"/>
      <c r="M54" s="54"/>
      <c r="N54" s="54"/>
      <c r="O54" s="54"/>
      <c r="P54" s="26"/>
      <c r="Q54" s="26"/>
      <c r="R54" s="26"/>
      <c r="S54" s="26"/>
      <c r="T54" s="26"/>
      <c r="U54" s="26"/>
      <c r="V54" s="27"/>
      <c r="W54" s="26"/>
      <c r="X54" s="26"/>
      <c r="Y54" s="26"/>
    </row>
    <row r="55" spans="1:31" ht="46.5" customHeight="1" thickBot="1" x14ac:dyDescent="0.35">
      <c r="A55" s="22"/>
      <c r="B55" s="23" t="s">
        <v>1120</v>
      </c>
      <c r="C55" s="49"/>
      <c r="D55" s="50"/>
      <c r="E55" s="9"/>
      <c r="F55" s="9"/>
      <c r="G55" s="9"/>
      <c r="H55" s="9"/>
      <c r="I55" s="9"/>
      <c r="J55" s="9"/>
      <c r="K55" s="9"/>
      <c r="L55" s="9"/>
      <c r="M55" s="9"/>
      <c r="N55" s="9"/>
      <c r="O55" s="9"/>
      <c r="P55" s="26"/>
      <c r="Q55" s="26"/>
      <c r="R55" s="26"/>
      <c r="S55" s="26"/>
      <c r="T55" s="26"/>
      <c r="U55" s="26"/>
      <c r="V55" s="27"/>
      <c r="W55" s="26"/>
      <c r="X55" s="26"/>
      <c r="Y55" s="26"/>
    </row>
    <row r="56" spans="1:31" ht="46.5" customHeight="1" x14ac:dyDescent="0.3">
      <c r="A56" s="22"/>
      <c r="B56" s="23"/>
      <c r="C56" s="51"/>
      <c r="D56" s="52"/>
      <c r="E56" s="9"/>
      <c r="F56" s="9"/>
      <c r="G56" s="9"/>
      <c r="H56" s="9"/>
      <c r="I56" s="9"/>
      <c r="J56" s="9"/>
      <c r="K56" s="9"/>
      <c r="L56" s="9"/>
      <c r="M56" s="9"/>
      <c r="N56" s="9"/>
      <c r="O56" s="9"/>
      <c r="P56" s="26"/>
      <c r="Q56" s="26"/>
      <c r="R56" s="26"/>
      <c r="S56" s="26"/>
      <c r="T56" s="26"/>
      <c r="U56" s="26"/>
      <c r="V56" s="27"/>
      <c r="W56" s="26"/>
      <c r="X56" s="26"/>
      <c r="Y56" s="26"/>
    </row>
    <row r="57" spans="1:31" ht="23.25" customHeight="1" x14ac:dyDescent="0.3">
      <c r="A57" s="22"/>
      <c r="B57" s="23"/>
      <c r="C57" s="53" t="s">
        <v>1121</v>
      </c>
      <c r="D57" s="54"/>
      <c r="E57" s="54"/>
      <c r="F57" s="54"/>
      <c r="G57" s="54"/>
      <c r="H57" s="54"/>
      <c r="I57" s="54"/>
      <c r="J57" s="54"/>
      <c r="K57" s="54"/>
      <c r="L57" s="54"/>
      <c r="M57" s="54"/>
      <c r="N57" s="54"/>
      <c r="O57" s="54"/>
      <c r="P57" s="26"/>
      <c r="Q57" s="26"/>
      <c r="R57" s="26"/>
      <c r="S57" s="26"/>
      <c r="T57" s="26"/>
      <c r="U57" s="26"/>
      <c r="V57" s="27"/>
      <c r="W57" s="26"/>
      <c r="X57" s="26"/>
      <c r="Y57" s="26"/>
    </row>
    <row r="58" spans="1:31" ht="23.25" customHeight="1" x14ac:dyDescent="0.3">
      <c r="A58" s="22"/>
      <c r="B58" s="23"/>
      <c r="C58" s="24"/>
      <c r="D58" s="25"/>
      <c r="E58" s="25"/>
      <c r="F58" s="25"/>
      <c r="G58" s="25"/>
      <c r="H58" s="25"/>
      <c r="I58" s="25"/>
      <c r="J58" s="25"/>
      <c r="K58" s="25"/>
      <c r="L58" s="25"/>
      <c r="M58" s="25"/>
      <c r="N58" s="25"/>
      <c r="O58" s="25"/>
      <c r="P58" s="26"/>
      <c r="Q58" s="26"/>
      <c r="R58" s="26"/>
      <c r="S58" s="26"/>
      <c r="T58" s="26"/>
      <c r="U58" s="26"/>
      <c r="V58" s="27"/>
      <c r="W58" s="26"/>
      <c r="X58" s="26"/>
      <c r="Y58" s="26"/>
    </row>
    <row r="59" spans="1:31" ht="23.25" customHeight="1" thickBot="1" x14ac:dyDescent="0.35">
      <c r="A59" s="22"/>
      <c r="B59" s="28"/>
      <c r="C59" s="29"/>
      <c r="D59" s="30"/>
      <c r="E59" s="1090"/>
      <c r="F59" s="1090"/>
      <c r="G59" s="1090"/>
      <c r="H59" s="1090"/>
      <c r="I59" s="1090"/>
      <c r="J59" s="1090"/>
      <c r="K59" s="1090"/>
      <c r="L59" s="1090"/>
      <c r="M59" s="1090"/>
      <c r="N59" s="1090"/>
      <c r="O59" s="1090"/>
      <c r="P59" s="31"/>
      <c r="Q59" s="31"/>
      <c r="R59" s="31"/>
      <c r="S59" s="31"/>
      <c r="T59" s="240"/>
      <c r="U59" s="31"/>
      <c r="V59" s="32"/>
      <c r="W59" s="26"/>
      <c r="X59" s="26"/>
      <c r="Y59" s="26"/>
    </row>
    <row r="60" spans="1:31" ht="38.25" customHeight="1" thickBot="1" x14ac:dyDescent="0.45">
      <c r="A60" s="22"/>
      <c r="B60" s="55" t="s">
        <v>1102</v>
      </c>
      <c r="C60" s="24"/>
      <c r="D60" s="25"/>
      <c r="E60" s="25"/>
      <c r="F60" s="25"/>
      <c r="G60" s="25"/>
      <c r="H60" s="25"/>
      <c r="I60" s="25"/>
      <c r="J60" s="25"/>
      <c r="K60" s="25"/>
      <c r="L60" s="25"/>
      <c r="M60" s="25"/>
      <c r="N60" s="25"/>
      <c r="O60" s="25"/>
      <c r="P60" s="26"/>
      <c r="Q60" s="26"/>
      <c r="R60" s="26"/>
      <c r="S60" s="26"/>
      <c r="T60" s="26"/>
      <c r="U60" s="26"/>
      <c r="V60" s="27"/>
      <c r="W60" s="26"/>
      <c r="X60" s="26"/>
      <c r="Y60" s="26"/>
    </row>
    <row r="61" spans="1:31" ht="56.25" customHeight="1" thickBot="1" x14ac:dyDescent="0.35">
      <c r="A61" s="56"/>
      <c r="B61" s="1374" t="s">
        <v>40</v>
      </c>
      <c r="C61" s="1375" t="s">
        <v>41</v>
      </c>
      <c r="D61" s="1376" t="s">
        <v>1095</v>
      </c>
      <c r="E61" s="2738" t="s">
        <v>1136</v>
      </c>
      <c r="F61" s="2739"/>
      <c r="G61" s="2739"/>
      <c r="H61" s="2739"/>
      <c r="I61" s="2740"/>
      <c r="J61" s="2735" t="s">
        <v>1143</v>
      </c>
      <c r="K61" s="2736"/>
      <c r="L61" s="2736"/>
      <c r="M61" s="2736"/>
      <c r="N61" s="2737"/>
      <c r="O61" s="2734"/>
      <c r="P61" s="2735" t="s">
        <v>1118</v>
      </c>
      <c r="Q61" s="2736"/>
      <c r="R61" s="2736"/>
      <c r="S61" s="2736"/>
      <c r="T61" s="2737"/>
      <c r="U61" s="2734"/>
      <c r="V61" s="2733" t="s">
        <v>1086</v>
      </c>
      <c r="W61" s="2734"/>
      <c r="X61" s="2731" t="s">
        <v>1025</v>
      </c>
      <c r="Y61" s="2732"/>
      <c r="Z61" s="2722" t="s">
        <v>1085</v>
      </c>
      <c r="AA61" s="2723"/>
      <c r="AB61" s="2723"/>
      <c r="AC61" s="2723"/>
      <c r="AD61" s="2723"/>
      <c r="AE61" s="2724"/>
    </row>
    <row r="62" spans="1:31" ht="54.75" customHeight="1" x14ac:dyDescent="0.25">
      <c r="A62" s="57"/>
      <c r="B62" s="134"/>
      <c r="C62" s="135"/>
      <c r="D62" s="208"/>
      <c r="E62" s="986" t="s">
        <v>1092</v>
      </c>
      <c r="F62" s="1458" t="s">
        <v>1093</v>
      </c>
      <c r="G62" s="1458" t="s">
        <v>1094</v>
      </c>
      <c r="H62" s="1459" t="s">
        <v>1106</v>
      </c>
      <c r="I62" s="737" t="s">
        <v>50</v>
      </c>
      <c r="J62" s="733" t="s">
        <v>438</v>
      </c>
      <c r="K62" s="733" t="s">
        <v>439</v>
      </c>
      <c r="L62" s="733" t="s">
        <v>447</v>
      </c>
      <c r="M62" s="733" t="s">
        <v>440</v>
      </c>
      <c r="N62" s="733" t="s">
        <v>446</v>
      </c>
      <c r="O62" s="1460" t="s">
        <v>441</v>
      </c>
      <c r="P62" s="2224" t="s">
        <v>1087</v>
      </c>
      <c r="Q62" s="2225" t="s">
        <v>1088</v>
      </c>
      <c r="R62" s="2225" t="s">
        <v>1089</v>
      </c>
      <c r="S62" s="2225" t="s">
        <v>1090</v>
      </c>
      <c r="T62" s="2225" t="s">
        <v>45</v>
      </c>
      <c r="U62" s="2226" t="s">
        <v>50</v>
      </c>
      <c r="V62" s="2227" t="s">
        <v>754</v>
      </c>
      <c r="W62" s="2226" t="s">
        <v>755</v>
      </c>
      <c r="X62" s="2227" t="s">
        <v>1025</v>
      </c>
      <c r="Y62" s="2226" t="s">
        <v>1025</v>
      </c>
      <c r="Z62" s="2228" t="s">
        <v>438</v>
      </c>
      <c r="AA62" s="733" t="s">
        <v>439</v>
      </c>
      <c r="AB62" s="733" t="s">
        <v>447</v>
      </c>
      <c r="AC62" s="733" t="s">
        <v>440</v>
      </c>
      <c r="AD62" s="733" t="s">
        <v>446</v>
      </c>
      <c r="AE62" s="733" t="s">
        <v>441</v>
      </c>
    </row>
    <row r="63" spans="1:31" ht="38.25" customHeight="1" thickBot="1" x14ac:dyDescent="0.35">
      <c r="A63" s="58">
        <v>1</v>
      </c>
      <c r="B63" s="136" t="s">
        <v>51</v>
      </c>
      <c r="C63" s="59"/>
      <c r="D63" s="59"/>
      <c r="E63" s="211" t="s">
        <v>295</v>
      </c>
      <c r="F63" s="211" t="s">
        <v>295</v>
      </c>
      <c r="G63" s="211" t="s">
        <v>295</v>
      </c>
      <c r="H63" s="211" t="s">
        <v>295</v>
      </c>
      <c r="I63" s="2458"/>
      <c r="J63" s="1295"/>
      <c r="K63" s="1295" t="s">
        <v>442</v>
      </c>
      <c r="L63" s="1295" t="s">
        <v>443</v>
      </c>
      <c r="M63" s="1295" t="s">
        <v>443</v>
      </c>
      <c r="N63" s="1295" t="s">
        <v>444</v>
      </c>
      <c r="O63" s="1461" t="s">
        <v>444</v>
      </c>
      <c r="P63" s="1481" t="s">
        <v>295</v>
      </c>
      <c r="Q63" s="1482" t="s">
        <v>295</v>
      </c>
      <c r="R63" s="1482" t="s">
        <v>295</v>
      </c>
      <c r="S63" s="1482" t="s">
        <v>295</v>
      </c>
      <c r="T63" s="1482" t="s">
        <v>295</v>
      </c>
      <c r="U63" s="1483"/>
      <c r="V63" s="1401" t="s">
        <v>546</v>
      </c>
      <c r="W63" s="1402" t="s">
        <v>1024</v>
      </c>
      <c r="X63" s="1401" t="s">
        <v>295</v>
      </c>
      <c r="Y63" s="1402" t="s">
        <v>1024</v>
      </c>
      <c r="Z63" s="1380"/>
      <c r="AA63" s="1296" t="s">
        <v>442</v>
      </c>
      <c r="AB63" s="1296" t="s">
        <v>443</v>
      </c>
      <c r="AC63" s="1296" t="s">
        <v>443</v>
      </c>
      <c r="AD63" s="1296" t="s">
        <v>444</v>
      </c>
      <c r="AE63" s="1296" t="s">
        <v>444</v>
      </c>
    </row>
    <row r="64" spans="1:31" ht="45.75" customHeight="1" x14ac:dyDescent="0.3">
      <c r="A64" s="60" t="s">
        <v>52</v>
      </c>
      <c r="B64" s="2750" t="s">
        <v>53</v>
      </c>
      <c r="C64" s="2751"/>
      <c r="D64" s="2752"/>
      <c r="E64" s="1293"/>
      <c r="F64" s="1294"/>
      <c r="G64" s="1294"/>
      <c r="H64" s="1294"/>
      <c r="I64" s="1292"/>
      <c r="J64" s="1292"/>
      <c r="K64" s="1623"/>
      <c r="L64" s="1292"/>
      <c r="M64" s="1292"/>
      <c r="N64" s="1292"/>
      <c r="O64" s="1462"/>
      <c r="P64" s="1484"/>
      <c r="Q64" s="1485"/>
      <c r="R64" s="1485"/>
      <c r="S64" s="1485"/>
      <c r="T64" s="1485"/>
      <c r="U64" s="1486"/>
      <c r="V64" s="1448"/>
      <c r="W64" s="1449"/>
      <c r="X64" s="1403"/>
      <c r="Y64" s="1404"/>
      <c r="Z64" s="1381"/>
      <c r="AA64" s="1292"/>
      <c r="AB64" s="1292"/>
      <c r="AC64" s="1292"/>
      <c r="AD64" s="1292"/>
      <c r="AE64" s="1292"/>
    </row>
    <row r="65" spans="1:31" ht="81" x14ac:dyDescent="0.3">
      <c r="A65" s="57"/>
      <c r="B65" s="170"/>
      <c r="C65" s="275" t="s">
        <v>54</v>
      </c>
      <c r="D65" s="475" t="s">
        <v>648</v>
      </c>
      <c r="E65" s="1258">
        <v>6540</v>
      </c>
      <c r="F65" s="1259">
        <v>0</v>
      </c>
      <c r="G65" s="1259">
        <v>0</v>
      </c>
      <c r="H65" s="1260">
        <f>SUM(E65:G65)</f>
        <v>6540</v>
      </c>
      <c r="I65" s="1252" t="s">
        <v>56</v>
      </c>
      <c r="J65" s="1257" t="s">
        <v>991</v>
      </c>
      <c r="K65" s="1624">
        <v>2</v>
      </c>
      <c r="L65" s="1257">
        <f>H65/2</f>
        <v>3270</v>
      </c>
      <c r="M65" s="1257">
        <f>L65/1.1317</f>
        <v>2889.4583370151104</v>
      </c>
      <c r="N65" s="1257">
        <f t="shared" ref="N65:N74" si="1">K65*L65</f>
        <v>6540</v>
      </c>
      <c r="O65" s="1463">
        <f>N65/1.1317</f>
        <v>5778.9166740302207</v>
      </c>
      <c r="P65" s="1488"/>
      <c r="Q65" s="1489"/>
      <c r="R65" s="1489"/>
      <c r="S65" s="1489">
        <v>800</v>
      </c>
      <c r="T65" s="1487">
        <f>SUM(P65:S65)</f>
        <v>800</v>
      </c>
      <c r="U65" s="1490" t="s">
        <v>1061</v>
      </c>
      <c r="V65" s="1407">
        <f t="shared" ref="V65:V71" si="2">P65+Q65+R65+S65</f>
        <v>800</v>
      </c>
      <c r="W65" s="1451">
        <f>V65/1.1317</f>
        <v>706.90112220553158</v>
      </c>
      <c r="X65" s="1407">
        <f>V65-N65</f>
        <v>-5740</v>
      </c>
      <c r="Y65" s="1408">
        <f t="shared" ref="Y65:Y74" si="3">W65-O65</f>
        <v>-5072.0155518246893</v>
      </c>
      <c r="Z65" s="1382" t="s">
        <v>991</v>
      </c>
      <c r="AA65" s="1624">
        <v>2</v>
      </c>
      <c r="AB65" s="1257">
        <f>V65/2</f>
        <v>400</v>
      </c>
      <c r="AC65" s="1257">
        <f>AB65/1.1317</f>
        <v>353.45056110276579</v>
      </c>
      <c r="AD65" s="1257">
        <f t="shared" ref="AD65:AD73" si="4">AA65*AB65</f>
        <v>800</v>
      </c>
      <c r="AE65" s="1257">
        <f>AD65/1.1317</f>
        <v>706.90112220553158</v>
      </c>
    </row>
    <row r="66" spans="1:31" ht="40.5" x14ac:dyDescent="0.3">
      <c r="A66" s="74"/>
      <c r="B66" s="63"/>
      <c r="C66" s="276" t="s">
        <v>445</v>
      </c>
      <c r="D66" s="1110" t="s">
        <v>647</v>
      </c>
      <c r="E66" s="1258"/>
      <c r="F66" s="1259"/>
      <c r="G66" s="1259"/>
      <c r="H66" s="1260">
        <f t="shared" ref="H66:H74" si="5">SUM(E66:G66)</f>
        <v>0</v>
      </c>
      <c r="I66" s="1252"/>
      <c r="J66" s="1257"/>
      <c r="K66" s="1624">
        <v>0</v>
      </c>
      <c r="L66" s="1257">
        <f t="shared" ref="L66:L73" si="6">H66/2</f>
        <v>0</v>
      </c>
      <c r="M66" s="1257">
        <f t="shared" ref="M66:M74" si="7">L66/1.1317</f>
        <v>0</v>
      </c>
      <c r="N66" s="1257">
        <f t="shared" si="1"/>
        <v>0</v>
      </c>
      <c r="O66" s="1463">
        <f t="shared" ref="O66:O74" si="8">N66/1.1317</f>
        <v>0</v>
      </c>
      <c r="P66" s="1405"/>
      <c r="Q66" s="1487"/>
      <c r="R66" s="1487">
        <v>5000</v>
      </c>
      <c r="S66" s="1487"/>
      <c r="T66" s="1487">
        <f>SUM(D66:S66)</f>
        <v>5000</v>
      </c>
      <c r="U66" s="1490" t="s">
        <v>650</v>
      </c>
      <c r="V66" s="1407">
        <f t="shared" si="2"/>
        <v>5000</v>
      </c>
      <c r="W66" s="1451">
        <f t="shared" ref="W66:W74" si="9">V66/1.1317</f>
        <v>4418.1320137845723</v>
      </c>
      <c r="X66" s="1407">
        <f t="shared" ref="X66:X74" si="10">V66-N66</f>
        <v>5000</v>
      </c>
      <c r="Y66" s="1408">
        <f t="shared" si="3"/>
        <v>4418.1320137845723</v>
      </c>
      <c r="Z66" s="1382" t="s">
        <v>1000</v>
      </c>
      <c r="AA66" s="1624">
        <v>10</v>
      </c>
      <c r="AB66" s="1257">
        <f>V66/10</f>
        <v>500</v>
      </c>
      <c r="AC66" s="1257">
        <f t="shared" ref="AC66:AC73" si="11">AB66/1.1317</f>
        <v>441.81320137845722</v>
      </c>
      <c r="AD66" s="1257">
        <f t="shared" si="4"/>
        <v>5000</v>
      </c>
      <c r="AE66" s="1257">
        <f t="shared" ref="AE66:AE74" si="12">AD66/1.1317</f>
        <v>4418.1320137845723</v>
      </c>
    </row>
    <row r="67" spans="1:31" ht="87.75" customHeight="1" x14ac:dyDescent="0.3">
      <c r="A67" s="57"/>
      <c r="B67" s="63"/>
      <c r="C67" s="277" t="s">
        <v>57</v>
      </c>
      <c r="D67" s="1095" t="s">
        <v>763</v>
      </c>
      <c r="E67" s="1258"/>
      <c r="F67" s="1259"/>
      <c r="G67" s="1259"/>
      <c r="H67" s="1260">
        <f t="shared" si="5"/>
        <v>0</v>
      </c>
      <c r="I67" s="1252"/>
      <c r="J67" s="1257"/>
      <c r="K67" s="1624">
        <v>0</v>
      </c>
      <c r="L67" s="1257">
        <f t="shared" si="6"/>
        <v>0</v>
      </c>
      <c r="M67" s="1257">
        <f t="shared" si="7"/>
        <v>0</v>
      </c>
      <c r="N67" s="1257">
        <f t="shared" si="1"/>
        <v>0</v>
      </c>
      <c r="O67" s="1463">
        <f t="shared" si="8"/>
        <v>0</v>
      </c>
      <c r="P67" s="1488"/>
      <c r="Q67" s="1489"/>
      <c r="R67" s="1489"/>
      <c r="S67" s="1489">
        <f>6300+2000</f>
        <v>8300</v>
      </c>
      <c r="T67" s="1487">
        <f t="shared" ref="T67:T74" si="13">SUM(P67:S67)</f>
        <v>8300</v>
      </c>
      <c r="U67" s="1491" t="s">
        <v>896</v>
      </c>
      <c r="V67" s="1407">
        <f>P67+Q67+R67+S67</f>
        <v>8300</v>
      </c>
      <c r="W67" s="1451">
        <f t="shared" si="9"/>
        <v>7334.09914288239</v>
      </c>
      <c r="X67" s="1407">
        <f t="shared" si="10"/>
        <v>8300</v>
      </c>
      <c r="Y67" s="1408">
        <f t="shared" si="3"/>
        <v>7334.09914288239</v>
      </c>
      <c r="Z67" s="1382" t="s">
        <v>991</v>
      </c>
      <c r="AA67" s="1624">
        <v>6</v>
      </c>
      <c r="AB67" s="1257">
        <f>V67/6</f>
        <v>1383.3333333333333</v>
      </c>
      <c r="AC67" s="1257">
        <f t="shared" si="11"/>
        <v>1222.349857147065</v>
      </c>
      <c r="AD67" s="1257">
        <f t="shared" si="4"/>
        <v>8300</v>
      </c>
      <c r="AE67" s="1257">
        <f t="shared" si="12"/>
        <v>7334.09914288239</v>
      </c>
    </row>
    <row r="68" spans="1:31" ht="60.75" x14ac:dyDescent="0.3">
      <c r="A68" s="224"/>
      <c r="B68" s="63"/>
      <c r="C68" s="277" t="s">
        <v>651</v>
      </c>
      <c r="D68" s="1095" t="s">
        <v>652</v>
      </c>
      <c r="E68" s="1258">
        <v>12925</v>
      </c>
      <c r="F68" s="1259"/>
      <c r="G68" s="1259"/>
      <c r="H68" s="1260">
        <f t="shared" si="5"/>
        <v>12925</v>
      </c>
      <c r="I68" s="1252" t="s">
        <v>59</v>
      </c>
      <c r="J68" s="1257" t="s">
        <v>993</v>
      </c>
      <c r="K68" s="1624">
        <v>75</v>
      </c>
      <c r="L68" s="1257">
        <f>H68/75</f>
        <v>172.33333333333334</v>
      </c>
      <c r="M68" s="1257">
        <f t="shared" si="7"/>
        <v>152.27828340844161</v>
      </c>
      <c r="N68" s="1257">
        <f t="shared" si="1"/>
        <v>12925</v>
      </c>
      <c r="O68" s="1463">
        <f t="shared" si="8"/>
        <v>11420.871255633119</v>
      </c>
      <c r="P68" s="1488"/>
      <c r="Q68" s="1489">
        <v>43610</v>
      </c>
      <c r="R68" s="1489">
        <f>34200</f>
        <v>34200</v>
      </c>
      <c r="S68" s="1489"/>
      <c r="T68" s="1487">
        <f t="shared" si="13"/>
        <v>77810</v>
      </c>
      <c r="U68" s="1490" t="s">
        <v>756</v>
      </c>
      <c r="V68" s="1407">
        <f t="shared" si="2"/>
        <v>77810</v>
      </c>
      <c r="W68" s="1451">
        <f t="shared" si="9"/>
        <v>68754.970398515507</v>
      </c>
      <c r="X68" s="1407">
        <f t="shared" si="10"/>
        <v>64885</v>
      </c>
      <c r="Y68" s="1408">
        <f t="shared" si="3"/>
        <v>57334.099142882391</v>
      </c>
      <c r="Z68" s="1382" t="s">
        <v>993</v>
      </c>
      <c r="AA68" s="1624">
        <v>240</v>
      </c>
      <c r="AB68" s="1257">
        <f>V68/240</f>
        <v>324.20833333333331</v>
      </c>
      <c r="AC68" s="1257">
        <f t="shared" ref="AC68" si="14">AB68/1.1317</f>
        <v>286.47904332714796</v>
      </c>
      <c r="AD68" s="1257">
        <f t="shared" ref="AD68" si="15">AA68*AB68</f>
        <v>77810</v>
      </c>
      <c r="AE68" s="1257">
        <f t="shared" si="12"/>
        <v>68754.970398515507</v>
      </c>
    </row>
    <row r="69" spans="1:31" ht="81" x14ac:dyDescent="0.3">
      <c r="A69" s="57"/>
      <c r="B69" s="1092"/>
      <c r="C69" s="2489" t="s">
        <v>60</v>
      </c>
      <c r="D69" s="2490" t="s">
        <v>582</v>
      </c>
      <c r="E69" s="1258">
        <f>6000</f>
        <v>6000</v>
      </c>
      <c r="F69" s="1259">
        <f>6000</f>
        <v>6000</v>
      </c>
      <c r="G69" s="1259"/>
      <c r="H69" s="1260">
        <f t="shared" si="5"/>
        <v>12000</v>
      </c>
      <c r="I69" s="1252" t="s">
        <v>335</v>
      </c>
      <c r="J69" s="1257" t="s">
        <v>992</v>
      </c>
      <c r="K69" s="1624">
        <v>3</v>
      </c>
      <c r="L69" s="1257">
        <f>H69/3</f>
        <v>4000</v>
      </c>
      <c r="M69" s="1257">
        <f t="shared" si="7"/>
        <v>3534.5056110276578</v>
      </c>
      <c r="N69" s="1257">
        <f t="shared" si="1"/>
        <v>12000</v>
      </c>
      <c r="O69" s="1463">
        <f t="shared" si="8"/>
        <v>10603.516833082973</v>
      </c>
      <c r="P69" s="1488">
        <f>3140</f>
        <v>3140</v>
      </c>
      <c r="Q69" s="1489">
        <f>11693</f>
        <v>11693</v>
      </c>
      <c r="R69" s="1489">
        <f>7567</f>
        <v>7567</v>
      </c>
      <c r="S69" s="1489">
        <f>9600</f>
        <v>9600</v>
      </c>
      <c r="T69" s="1487">
        <f t="shared" si="13"/>
        <v>32000</v>
      </c>
      <c r="U69" s="1490" t="s">
        <v>1062</v>
      </c>
      <c r="V69" s="1407">
        <f t="shared" si="2"/>
        <v>32000</v>
      </c>
      <c r="W69" s="1451">
        <f t="shared" si="9"/>
        <v>28276.044888221262</v>
      </c>
      <c r="X69" s="1407">
        <f t="shared" si="10"/>
        <v>20000</v>
      </c>
      <c r="Y69" s="1408">
        <f t="shared" si="3"/>
        <v>17672.528055138289</v>
      </c>
      <c r="Z69" s="1382" t="s">
        <v>992</v>
      </c>
      <c r="AA69" s="1624">
        <v>2</v>
      </c>
      <c r="AB69" s="1257">
        <f>V69/2</f>
        <v>16000</v>
      </c>
      <c r="AC69" s="1257">
        <f t="shared" si="11"/>
        <v>14138.022444110631</v>
      </c>
      <c r="AD69" s="1257">
        <f t="shared" si="4"/>
        <v>32000</v>
      </c>
      <c r="AE69" s="1257">
        <f t="shared" si="12"/>
        <v>28276.044888221262</v>
      </c>
    </row>
    <row r="70" spans="1:31" ht="121.5" x14ac:dyDescent="0.3">
      <c r="A70" s="57"/>
      <c r="B70" s="63"/>
      <c r="C70" s="2485" t="s">
        <v>62</v>
      </c>
      <c r="D70" s="2486" t="s">
        <v>753</v>
      </c>
      <c r="E70" s="1258">
        <v>91075</v>
      </c>
      <c r="F70" s="1259">
        <v>62675</v>
      </c>
      <c r="G70" s="1259"/>
      <c r="H70" s="1260">
        <f t="shared" si="5"/>
        <v>153750</v>
      </c>
      <c r="I70" s="1252" t="s">
        <v>64</v>
      </c>
      <c r="J70" s="1257" t="s">
        <v>994</v>
      </c>
      <c r="K70" s="1624">
        <v>6</v>
      </c>
      <c r="L70" s="1257">
        <f>H70/6</f>
        <v>25625</v>
      </c>
      <c r="M70" s="1257">
        <f t="shared" si="7"/>
        <v>22642.926570645934</v>
      </c>
      <c r="N70" s="1257">
        <f t="shared" si="1"/>
        <v>153750</v>
      </c>
      <c r="O70" s="1463">
        <f t="shared" si="8"/>
        <v>135857.55942387559</v>
      </c>
      <c r="P70" s="1488">
        <f>95250</f>
        <v>95250</v>
      </c>
      <c r="Q70" s="1489">
        <f>204585+700+9846.64</f>
        <v>215131.64</v>
      </c>
      <c r="R70" s="1489">
        <f>84000+37100+700</f>
        <v>121800</v>
      </c>
      <c r="S70" s="1489"/>
      <c r="T70" s="1487">
        <f t="shared" si="13"/>
        <v>432181.64</v>
      </c>
      <c r="U70" s="1490" t="s">
        <v>722</v>
      </c>
      <c r="V70" s="1407">
        <f t="shared" si="2"/>
        <v>432181.64</v>
      </c>
      <c r="W70" s="1451">
        <f t="shared" si="9"/>
        <v>381887.10789078381</v>
      </c>
      <c r="X70" s="1407">
        <f t="shared" si="10"/>
        <v>278431.64</v>
      </c>
      <c r="Y70" s="1408">
        <f t="shared" si="3"/>
        <v>246029.54846690822</v>
      </c>
      <c r="Z70" s="1382" t="s">
        <v>994</v>
      </c>
      <c r="AA70" s="1624">
        <v>12</v>
      </c>
      <c r="AB70" s="1257">
        <f>V70/12</f>
        <v>36015.136666666665</v>
      </c>
      <c r="AC70" s="1257">
        <f t="shared" si="11"/>
        <v>31823.925657565316</v>
      </c>
      <c r="AD70" s="1257">
        <f t="shared" si="4"/>
        <v>432181.64</v>
      </c>
      <c r="AE70" s="1257">
        <f t="shared" si="12"/>
        <v>381887.10789078381</v>
      </c>
    </row>
    <row r="71" spans="1:31" ht="141.75" x14ac:dyDescent="0.3">
      <c r="A71" s="57"/>
      <c r="B71" s="204"/>
      <c r="C71" s="445" t="s">
        <v>730</v>
      </c>
      <c r="D71" s="1110" t="s">
        <v>899</v>
      </c>
      <c r="E71" s="1258"/>
      <c r="F71" s="1259"/>
      <c r="G71" s="1259"/>
      <c r="H71" s="1260">
        <f t="shared" si="5"/>
        <v>0</v>
      </c>
      <c r="I71" s="1252"/>
      <c r="J71" s="1257"/>
      <c r="K71" s="1624">
        <v>0</v>
      </c>
      <c r="L71" s="1257">
        <f t="shared" si="6"/>
        <v>0</v>
      </c>
      <c r="M71" s="1257">
        <f t="shared" si="7"/>
        <v>0</v>
      </c>
      <c r="N71" s="1257">
        <f t="shared" si="1"/>
        <v>0</v>
      </c>
      <c r="O71" s="1463">
        <f t="shared" si="8"/>
        <v>0</v>
      </c>
      <c r="P71" s="1488"/>
      <c r="Q71" s="1489"/>
      <c r="R71" s="1489"/>
      <c r="S71" s="1489">
        <f>74200+12833.5</f>
        <v>87033.5</v>
      </c>
      <c r="T71" s="1487">
        <f>SUM(P71:S71)</f>
        <v>87033.5</v>
      </c>
      <c r="U71" s="1490" t="s">
        <v>1145</v>
      </c>
      <c r="V71" s="1407">
        <f t="shared" si="2"/>
        <v>87033.5</v>
      </c>
      <c r="W71" s="1451">
        <f>V71/1.1317</f>
        <v>76905.098524343906</v>
      </c>
      <c r="X71" s="1407">
        <f t="shared" si="10"/>
        <v>87033.5</v>
      </c>
      <c r="Y71" s="1408">
        <f t="shared" si="3"/>
        <v>76905.098524343906</v>
      </c>
      <c r="Z71" s="1382" t="s">
        <v>994</v>
      </c>
      <c r="AA71" s="1624">
        <v>3</v>
      </c>
      <c r="AB71" s="1257">
        <f>V71/3</f>
        <v>29011.166666666668</v>
      </c>
      <c r="AC71" s="1257">
        <f t="shared" si="11"/>
        <v>25635.032841447974</v>
      </c>
      <c r="AD71" s="1257">
        <f t="shared" si="4"/>
        <v>87033.5</v>
      </c>
      <c r="AE71" s="1257">
        <f t="shared" si="12"/>
        <v>76905.098524343906</v>
      </c>
    </row>
    <row r="72" spans="1:31" ht="81" x14ac:dyDescent="0.3">
      <c r="A72" s="224"/>
      <c r="B72" s="1092"/>
      <c r="C72" s="454" t="s">
        <v>65</v>
      </c>
      <c r="D72" s="1111" t="s">
        <v>66</v>
      </c>
      <c r="E72" s="1765">
        <v>15220</v>
      </c>
      <c r="F72" s="1766">
        <f>2400</f>
        <v>2400</v>
      </c>
      <c r="G72" s="1766"/>
      <c r="H72" s="2486">
        <f t="shared" si="5"/>
        <v>17620</v>
      </c>
      <c r="I72" s="2491" t="s">
        <v>67</v>
      </c>
      <c r="J72" s="1257" t="s">
        <v>995</v>
      </c>
      <c r="K72" s="1624">
        <v>40</v>
      </c>
      <c r="L72" s="1257">
        <f>H72/40</f>
        <v>440.5</v>
      </c>
      <c r="M72" s="1257">
        <f t="shared" si="7"/>
        <v>389.23743041442083</v>
      </c>
      <c r="N72" s="1257">
        <f t="shared" si="1"/>
        <v>17620</v>
      </c>
      <c r="O72" s="1463">
        <f t="shared" si="8"/>
        <v>15569.497216576832</v>
      </c>
      <c r="P72" s="1488"/>
      <c r="Q72" s="1489"/>
      <c r="R72" s="1489"/>
      <c r="S72" s="1489"/>
      <c r="T72" s="1487"/>
      <c r="U72" s="1490"/>
      <c r="V72" s="1407"/>
      <c r="W72" s="1451">
        <f t="shared" si="9"/>
        <v>0</v>
      </c>
      <c r="X72" s="1407">
        <f t="shared" si="10"/>
        <v>-17620</v>
      </c>
      <c r="Y72" s="1408">
        <f t="shared" si="3"/>
        <v>-15569.497216576832</v>
      </c>
      <c r="Z72" s="1382"/>
      <c r="AA72" s="1624"/>
      <c r="AB72" s="1257"/>
      <c r="AC72" s="1257"/>
      <c r="AD72" s="1257"/>
      <c r="AE72" s="1257">
        <f t="shared" si="12"/>
        <v>0</v>
      </c>
    </row>
    <row r="73" spans="1:31" ht="40.5" x14ac:dyDescent="0.3">
      <c r="A73" s="57"/>
      <c r="B73" s="204"/>
      <c r="C73" s="454" t="s">
        <v>972</v>
      </c>
      <c r="D73" s="1111" t="s">
        <v>752</v>
      </c>
      <c r="E73" s="1274"/>
      <c r="F73" s="1275"/>
      <c r="G73" s="1275"/>
      <c r="H73" s="1289">
        <f t="shared" si="5"/>
        <v>0</v>
      </c>
      <c r="I73" s="1252"/>
      <c r="J73" s="1257"/>
      <c r="K73" s="1624"/>
      <c r="L73" s="1257">
        <f t="shared" si="6"/>
        <v>0</v>
      </c>
      <c r="M73" s="1257">
        <f t="shared" si="7"/>
        <v>0</v>
      </c>
      <c r="N73" s="1257">
        <f t="shared" si="1"/>
        <v>0</v>
      </c>
      <c r="O73" s="1463">
        <f t="shared" si="8"/>
        <v>0</v>
      </c>
      <c r="P73" s="1488"/>
      <c r="Q73" s="1489"/>
      <c r="R73" s="1489">
        <f>2940</f>
        <v>2940</v>
      </c>
      <c r="S73" s="1489"/>
      <c r="T73" s="1487">
        <f t="shared" ref="T73" si="16">SUM(P73:S73)</f>
        <v>2940</v>
      </c>
      <c r="U73" s="1490" t="s">
        <v>869</v>
      </c>
      <c r="V73" s="1407">
        <f>P73+Q73+R73+S73</f>
        <v>2940</v>
      </c>
      <c r="W73" s="1451">
        <f t="shared" si="9"/>
        <v>2597.8616241053282</v>
      </c>
      <c r="X73" s="1407">
        <f t="shared" si="10"/>
        <v>2940</v>
      </c>
      <c r="Y73" s="1408">
        <f t="shared" si="3"/>
        <v>2597.8616241053282</v>
      </c>
      <c r="Z73" s="1382" t="s">
        <v>993</v>
      </c>
      <c r="AA73" s="1624">
        <v>42</v>
      </c>
      <c r="AB73" s="1257">
        <f>V73/42</f>
        <v>70</v>
      </c>
      <c r="AC73" s="1257">
        <f t="shared" si="11"/>
        <v>61.85384819298401</v>
      </c>
      <c r="AD73" s="1257">
        <f t="shared" si="4"/>
        <v>2940</v>
      </c>
      <c r="AE73" s="1257">
        <f t="shared" si="12"/>
        <v>2597.8616241053282</v>
      </c>
    </row>
    <row r="74" spans="1:31" ht="81" x14ac:dyDescent="0.3">
      <c r="A74" s="224"/>
      <c r="B74" s="138"/>
      <c r="C74" s="283" t="s">
        <v>68</v>
      </c>
      <c r="D74" s="1110" t="s">
        <v>69</v>
      </c>
      <c r="E74" s="1258">
        <f>10700</f>
        <v>10700</v>
      </c>
      <c r="F74" s="1259">
        <f>2775</f>
        <v>2775</v>
      </c>
      <c r="G74" s="1259"/>
      <c r="H74" s="1260">
        <f t="shared" si="5"/>
        <v>13475</v>
      </c>
      <c r="I74" s="1252" t="s">
        <v>70</v>
      </c>
      <c r="J74" s="1257" t="s">
        <v>993</v>
      </c>
      <c r="K74" s="1624">
        <v>15</v>
      </c>
      <c r="L74" s="1257">
        <f>H74/15</f>
        <v>898.33333333333337</v>
      </c>
      <c r="M74" s="1257">
        <f t="shared" si="7"/>
        <v>793.79105180996146</v>
      </c>
      <c r="N74" s="1257">
        <f t="shared" si="1"/>
        <v>13475</v>
      </c>
      <c r="O74" s="1463">
        <f t="shared" si="8"/>
        <v>11906.865777149422</v>
      </c>
      <c r="P74" s="1488">
        <f>10560</f>
        <v>10560</v>
      </c>
      <c r="Q74" s="1489"/>
      <c r="R74" s="1489"/>
      <c r="S74" s="1489"/>
      <c r="T74" s="1487">
        <f t="shared" si="13"/>
        <v>10560</v>
      </c>
      <c r="U74" s="1490" t="s">
        <v>764</v>
      </c>
      <c r="V74" s="1407">
        <f>P74+Q74+R74+S74</f>
        <v>10560</v>
      </c>
      <c r="W74" s="1451">
        <f t="shared" si="9"/>
        <v>9331.0948131130172</v>
      </c>
      <c r="X74" s="1407">
        <f t="shared" si="10"/>
        <v>-2915</v>
      </c>
      <c r="Y74" s="1408">
        <f t="shared" si="3"/>
        <v>-2575.7709640364046</v>
      </c>
      <c r="Z74" s="1382" t="s">
        <v>993</v>
      </c>
      <c r="AA74" s="1624">
        <v>15</v>
      </c>
      <c r="AB74" s="1257">
        <f>V74/15</f>
        <v>704</v>
      </c>
      <c r="AC74" s="1257">
        <f t="shared" ref="AC74" si="17">AB74/1.1317</f>
        <v>622.07298754086776</v>
      </c>
      <c r="AD74" s="1257">
        <f t="shared" ref="AD74" si="18">AA74*AB74</f>
        <v>10560</v>
      </c>
      <c r="AE74" s="1257">
        <f t="shared" si="12"/>
        <v>9331.0948131130172</v>
      </c>
    </row>
    <row r="75" spans="1:31" ht="47.25" customHeight="1" thickBot="1" x14ac:dyDescent="0.35">
      <c r="A75" s="224"/>
      <c r="B75" s="205"/>
      <c r="C75" s="64"/>
      <c r="D75" s="1098"/>
      <c r="E75" s="1262"/>
      <c r="F75" s="1263"/>
      <c r="G75" s="1263"/>
      <c r="H75" s="1264"/>
      <c r="I75" s="1252"/>
      <c r="J75" s="1265"/>
      <c r="K75" s="1625"/>
      <c r="L75" s="1265"/>
      <c r="M75" s="1265"/>
      <c r="N75" s="1265"/>
      <c r="O75" s="1464"/>
      <c r="P75" s="1492"/>
      <c r="Q75" s="1493"/>
      <c r="R75" s="1493"/>
      <c r="S75" s="1493"/>
      <c r="T75" s="1493"/>
      <c r="U75" s="1494"/>
      <c r="V75" s="1409"/>
      <c r="W75" s="1410"/>
      <c r="X75" s="1409"/>
      <c r="Y75" s="1410"/>
      <c r="Z75" s="1383"/>
      <c r="AA75" s="1625"/>
      <c r="AB75" s="1265"/>
      <c r="AC75" s="1265"/>
      <c r="AD75" s="1265"/>
      <c r="AE75" s="1265"/>
    </row>
    <row r="76" spans="1:31" ht="36.75" customHeight="1" thickBot="1" x14ac:dyDescent="0.35">
      <c r="A76" s="65"/>
      <c r="B76" s="139" t="s">
        <v>45</v>
      </c>
      <c r="C76" s="750"/>
      <c r="D76" s="1112"/>
      <c r="E76" s="1185">
        <f t="shared" ref="E76:H76" si="19">SUM(E65:E75)</f>
        <v>142460</v>
      </c>
      <c r="F76" s="1186">
        <f t="shared" si="19"/>
        <v>73850</v>
      </c>
      <c r="G76" s="1186">
        <f t="shared" si="19"/>
        <v>0</v>
      </c>
      <c r="H76" s="1187">
        <f t="shared" si="19"/>
        <v>216310</v>
      </c>
      <c r="I76" s="1187"/>
      <c r="J76" s="765"/>
      <c r="K76" s="1626"/>
      <c r="L76" s="765"/>
      <c r="M76" s="765"/>
      <c r="N76" s="765">
        <f t="shared" ref="N76" si="20">SUM(N65:N75)</f>
        <v>216310</v>
      </c>
      <c r="O76" s="1465">
        <f>SUM(O65:O75)-0.23</f>
        <v>191136.99718034815</v>
      </c>
      <c r="P76" s="1411">
        <f>SUM(P65:P75)</f>
        <v>108950</v>
      </c>
      <c r="Q76" s="1495">
        <f>SUM(Q65:Q75)</f>
        <v>270434.64</v>
      </c>
      <c r="R76" s="1495">
        <f>SUM(R65:R75)</f>
        <v>171507</v>
      </c>
      <c r="S76" s="1495">
        <f>SUM(S65:S75)</f>
        <v>105733.5</v>
      </c>
      <c r="T76" s="1495">
        <f>SUM(T65:T75)</f>
        <v>656625.14</v>
      </c>
      <c r="U76" s="1412"/>
      <c r="V76" s="1411">
        <f t="shared" ref="V76:AE76" si="21">SUM(V65:V75)</f>
        <v>656625.14</v>
      </c>
      <c r="W76" s="1412">
        <f t="shared" si="21"/>
        <v>580211.31041795528</v>
      </c>
      <c r="X76" s="1411">
        <f t="shared" si="21"/>
        <v>440315.14</v>
      </c>
      <c r="Y76" s="1412">
        <f t="shared" si="21"/>
        <v>389074.08323760715</v>
      </c>
      <c r="Z76" s="1298"/>
      <c r="AA76" s="1626"/>
      <c r="AB76" s="765"/>
      <c r="AC76" s="765">
        <f t="shared" si="21"/>
        <v>74585.000441813216</v>
      </c>
      <c r="AD76" s="765">
        <f t="shared" si="21"/>
        <v>656625.14</v>
      </c>
      <c r="AE76" s="765">
        <f t="shared" si="21"/>
        <v>580211.31041795528</v>
      </c>
    </row>
    <row r="77" spans="1:31" ht="21" thickBot="1" x14ac:dyDescent="0.35">
      <c r="A77" s="57"/>
      <c r="B77" s="140"/>
      <c r="C77" s="764"/>
      <c r="D77" s="1113"/>
      <c r="E77" s="1179"/>
      <c r="F77" s="1180"/>
      <c r="G77" s="1180"/>
      <c r="H77" s="1181"/>
      <c r="I77" s="1252"/>
      <c r="J77" s="763"/>
      <c r="K77" s="1627"/>
      <c r="L77" s="763"/>
      <c r="M77" s="763"/>
      <c r="N77" s="763"/>
      <c r="O77" s="1466"/>
      <c r="P77" s="1496" t="s">
        <v>33</v>
      </c>
      <c r="Q77" s="1497"/>
      <c r="R77" s="1497"/>
      <c r="S77" s="1497"/>
      <c r="T77" s="1497"/>
      <c r="U77" s="1414"/>
      <c r="V77" s="1413"/>
      <c r="W77" s="1414"/>
      <c r="X77" s="1413"/>
      <c r="Y77" s="1414"/>
      <c r="Z77" s="1384"/>
      <c r="AA77" s="1627"/>
      <c r="AB77" s="763"/>
      <c r="AC77" s="763"/>
      <c r="AD77" s="763"/>
      <c r="AE77" s="763"/>
    </row>
    <row r="78" spans="1:31" ht="64.5" customHeight="1" x14ac:dyDescent="0.3">
      <c r="A78" s="67" t="s">
        <v>71</v>
      </c>
      <c r="B78" s="2753" t="s">
        <v>72</v>
      </c>
      <c r="C78" s="2754"/>
      <c r="D78" s="2755"/>
      <c r="E78" s="1147"/>
      <c r="F78" s="1148"/>
      <c r="G78" s="1148"/>
      <c r="H78" s="1149"/>
      <c r="I78" s="1252"/>
      <c r="J78" s="1192"/>
      <c r="K78" s="1628"/>
      <c r="L78" s="1192"/>
      <c r="M78" s="1192"/>
      <c r="N78" s="1192"/>
      <c r="O78" s="1467"/>
      <c r="P78" s="1484"/>
      <c r="Q78" s="1485"/>
      <c r="R78" s="1485"/>
      <c r="S78" s="1485"/>
      <c r="T78" s="1485"/>
      <c r="U78" s="1416"/>
      <c r="V78" s="1415"/>
      <c r="W78" s="1452"/>
      <c r="X78" s="1415"/>
      <c r="Y78" s="1416"/>
      <c r="Z78" s="1385"/>
      <c r="AA78" s="1653"/>
      <c r="AB78" s="734"/>
      <c r="AC78" s="734"/>
      <c r="AD78" s="734"/>
      <c r="AE78" s="734"/>
    </row>
    <row r="79" spans="1:31" ht="60.75" x14ac:dyDescent="0.3">
      <c r="A79" s="57"/>
      <c r="B79" s="63"/>
      <c r="C79" s="290" t="s">
        <v>73</v>
      </c>
      <c r="D79" s="1095" t="s">
        <v>974</v>
      </c>
      <c r="E79" s="1150">
        <f>29600</f>
        <v>29600</v>
      </c>
      <c r="F79" s="1151"/>
      <c r="G79" s="1151"/>
      <c r="H79" s="1152">
        <f>SUM(E79:G79)</f>
        <v>29600</v>
      </c>
      <c r="I79" s="1252" t="s">
        <v>74</v>
      </c>
      <c r="J79" s="1193" t="s">
        <v>996</v>
      </c>
      <c r="K79" s="1629">
        <v>8</v>
      </c>
      <c r="L79" s="1193">
        <f>H79/8</f>
        <v>3700</v>
      </c>
      <c r="M79" s="1193">
        <f t="shared" ref="M79:M89" si="22">L79/1.1317</f>
        <v>3269.4176902005834</v>
      </c>
      <c r="N79" s="1193">
        <f t="shared" ref="N79:N89" si="23">K79*L79</f>
        <v>29600</v>
      </c>
      <c r="O79" s="1463">
        <f t="shared" ref="O79:O89" si="24">N79/1.1317</f>
        <v>26155.341521604667</v>
      </c>
      <c r="P79" s="1501">
        <f>13376</f>
        <v>13376</v>
      </c>
      <c r="Q79" s="1502">
        <f>6750+22000</f>
        <v>28750</v>
      </c>
      <c r="R79" s="1502">
        <v>18250</v>
      </c>
      <c r="S79" s="1502"/>
      <c r="T79" s="1499">
        <f t="shared" ref="T79:T89" si="25">SUM(P79:S79)</f>
        <v>60376</v>
      </c>
      <c r="U79" s="1491" t="s">
        <v>1041</v>
      </c>
      <c r="V79" s="1453">
        <f>P79+Q79+R79+S79</f>
        <v>60376</v>
      </c>
      <c r="W79" s="1451">
        <f t="shared" ref="W79:W80" si="26">V79/1.1317</f>
        <v>53349.827692851468</v>
      </c>
      <c r="X79" s="1407">
        <f t="shared" ref="X79:X89" si="27">V79-N79</f>
        <v>30776</v>
      </c>
      <c r="Y79" s="1408">
        <f t="shared" ref="Y79:Y89" si="28">W79-O79</f>
        <v>27194.486171246801</v>
      </c>
      <c r="Z79" s="1386" t="s">
        <v>996</v>
      </c>
      <c r="AA79" s="1653">
        <v>6</v>
      </c>
      <c r="AB79" s="734">
        <f>V79/6</f>
        <v>10062.666666666666</v>
      </c>
      <c r="AC79" s="734">
        <f t="shared" ref="AC79:AC86" si="29">AB79/1.1317</f>
        <v>8891.6379488085768</v>
      </c>
      <c r="AD79" s="734">
        <f t="shared" ref="AD79:AD89" si="30">AA79*AB79</f>
        <v>60376</v>
      </c>
      <c r="AE79" s="1257">
        <f t="shared" ref="AE79:AE89" si="31">AD79/1.1317</f>
        <v>53349.827692851468</v>
      </c>
    </row>
    <row r="80" spans="1:31" ht="40.5" x14ac:dyDescent="0.3">
      <c r="A80" s="57"/>
      <c r="B80" s="63"/>
      <c r="C80" s="290" t="s">
        <v>75</v>
      </c>
      <c r="D80" s="1095" t="s">
        <v>973</v>
      </c>
      <c r="E80" s="1150">
        <f>4000*8</f>
        <v>32000</v>
      </c>
      <c r="F80" s="1151"/>
      <c r="G80" s="1151"/>
      <c r="H80" s="1152">
        <f t="shared" ref="H80:H89" si="32">SUM(E80:G80)</f>
        <v>32000</v>
      </c>
      <c r="I80" s="1252" t="s">
        <v>985</v>
      </c>
      <c r="J80" s="1193" t="s">
        <v>997</v>
      </c>
      <c r="K80" s="1629">
        <v>4000</v>
      </c>
      <c r="L80" s="1193">
        <f>H80/4000</f>
        <v>8</v>
      </c>
      <c r="M80" s="1193">
        <f t="shared" si="22"/>
        <v>7.0690112220553152</v>
      </c>
      <c r="N80" s="1193">
        <f t="shared" si="23"/>
        <v>32000</v>
      </c>
      <c r="O80" s="1463">
        <f t="shared" si="24"/>
        <v>28276.044888221262</v>
      </c>
      <c r="P80" s="1501"/>
      <c r="Q80" s="1489"/>
      <c r="R80" s="1503">
        <f>11270</f>
        <v>11270</v>
      </c>
      <c r="S80" s="1504">
        <f>10000</f>
        <v>10000</v>
      </c>
      <c r="T80" s="1499">
        <f t="shared" si="25"/>
        <v>21270</v>
      </c>
      <c r="U80" s="1491" t="s">
        <v>1042</v>
      </c>
      <c r="V80" s="1453">
        <f>P80+Q80+R80+S80</f>
        <v>21270</v>
      </c>
      <c r="W80" s="1451">
        <f t="shared" si="26"/>
        <v>18794.73358663957</v>
      </c>
      <c r="X80" s="1407">
        <f t="shared" si="27"/>
        <v>-10730</v>
      </c>
      <c r="Y80" s="1408">
        <f t="shared" si="28"/>
        <v>-9481.3113015816925</v>
      </c>
      <c r="Z80" s="1386" t="s">
        <v>997</v>
      </c>
      <c r="AA80" s="1653">
        <v>2500</v>
      </c>
      <c r="AB80" s="734">
        <f>V80/2500</f>
        <v>8.5079999999999991</v>
      </c>
      <c r="AC80" s="734">
        <f t="shared" si="29"/>
        <v>7.5178934346558268</v>
      </c>
      <c r="AD80" s="734">
        <f t="shared" si="30"/>
        <v>21269.999999999996</v>
      </c>
      <c r="AE80" s="1257">
        <f t="shared" si="31"/>
        <v>18794.733586639566</v>
      </c>
    </row>
    <row r="81" spans="1:31" ht="81" x14ac:dyDescent="0.3">
      <c r="A81" s="224"/>
      <c r="B81" s="1092"/>
      <c r="C81" s="290" t="s">
        <v>76</v>
      </c>
      <c r="D81" s="1095" t="s">
        <v>975</v>
      </c>
      <c r="E81" s="1150">
        <f>29600</f>
        <v>29600</v>
      </c>
      <c r="F81" s="1151"/>
      <c r="G81" s="1151"/>
      <c r="H81" s="1152">
        <f t="shared" si="32"/>
        <v>29600</v>
      </c>
      <c r="I81" s="1252" t="s">
        <v>77</v>
      </c>
      <c r="J81" s="1193" t="s">
        <v>996</v>
      </c>
      <c r="K81" s="1629">
        <v>8</v>
      </c>
      <c r="L81" s="1193">
        <f>H81/8</f>
        <v>3700</v>
      </c>
      <c r="M81" s="1193">
        <f t="shared" si="22"/>
        <v>3269.4176902005834</v>
      </c>
      <c r="N81" s="1193">
        <f t="shared" si="23"/>
        <v>29600</v>
      </c>
      <c r="O81" s="1463">
        <f t="shared" si="24"/>
        <v>26155.341521604667</v>
      </c>
      <c r="P81" s="1501"/>
      <c r="Q81" s="1489"/>
      <c r="R81" s="1504"/>
      <c r="S81" s="1504"/>
      <c r="T81" s="1499"/>
      <c r="U81" s="1491"/>
      <c r="V81" s="1453"/>
      <c r="W81" s="1452"/>
      <c r="X81" s="1407">
        <f t="shared" si="27"/>
        <v>-29600</v>
      </c>
      <c r="Y81" s="1408">
        <f t="shared" si="28"/>
        <v>-26155.341521604667</v>
      </c>
      <c r="Z81" s="1386"/>
      <c r="AA81" s="1657"/>
      <c r="AB81" s="1093"/>
      <c r="AC81" s="1093"/>
      <c r="AD81" s="1093"/>
      <c r="AE81" s="1257">
        <f t="shared" si="31"/>
        <v>0</v>
      </c>
    </row>
    <row r="82" spans="1:31" ht="40.5" x14ac:dyDescent="0.3">
      <c r="A82" s="224"/>
      <c r="B82" s="1092"/>
      <c r="C82" s="290" t="s">
        <v>78</v>
      </c>
      <c r="D82" s="1095" t="s">
        <v>976</v>
      </c>
      <c r="E82" s="1150">
        <f>3500*8</f>
        <v>28000</v>
      </c>
      <c r="F82" s="1151"/>
      <c r="G82" s="1151"/>
      <c r="H82" s="1152">
        <f t="shared" si="32"/>
        <v>28000</v>
      </c>
      <c r="I82" s="1252" t="s">
        <v>986</v>
      </c>
      <c r="J82" s="1193" t="s">
        <v>997</v>
      </c>
      <c r="K82" s="1629">
        <v>4000</v>
      </c>
      <c r="L82" s="1193">
        <f>H82/4000</f>
        <v>7</v>
      </c>
      <c r="M82" s="1193">
        <f t="shared" si="22"/>
        <v>6.1853848192984007</v>
      </c>
      <c r="N82" s="1193">
        <f t="shared" si="23"/>
        <v>28000</v>
      </c>
      <c r="O82" s="1463">
        <f t="shared" si="24"/>
        <v>24741.539277193606</v>
      </c>
      <c r="P82" s="1501"/>
      <c r="Q82" s="1489"/>
      <c r="R82" s="1504"/>
      <c r="S82" s="1504"/>
      <c r="T82" s="1499"/>
      <c r="U82" s="1491"/>
      <c r="V82" s="1453"/>
      <c r="W82" s="1452"/>
      <c r="X82" s="1407">
        <f t="shared" si="27"/>
        <v>-28000</v>
      </c>
      <c r="Y82" s="1408">
        <f t="shared" si="28"/>
        <v>-24741.539277193606</v>
      </c>
      <c r="Z82" s="1386"/>
      <c r="AA82" s="1657"/>
      <c r="AB82" s="1093"/>
      <c r="AC82" s="1093"/>
      <c r="AD82" s="1093"/>
      <c r="AE82" s="1257">
        <f t="shared" si="31"/>
        <v>0</v>
      </c>
    </row>
    <row r="83" spans="1:31" ht="20.25" x14ac:dyDescent="0.3">
      <c r="A83" s="57"/>
      <c r="B83" s="63"/>
      <c r="C83" s="290" t="s">
        <v>80</v>
      </c>
      <c r="D83" s="1095" t="s">
        <v>81</v>
      </c>
      <c r="E83" s="1153"/>
      <c r="F83" s="1154"/>
      <c r="G83" s="1154"/>
      <c r="H83" s="1152">
        <f t="shared" si="32"/>
        <v>0</v>
      </c>
      <c r="I83" s="1252"/>
      <c r="J83" s="1193"/>
      <c r="K83" s="1629"/>
      <c r="L83" s="1193">
        <f t="shared" ref="L83:L89" si="33">H83/15</f>
        <v>0</v>
      </c>
      <c r="M83" s="1193">
        <f t="shared" si="22"/>
        <v>0</v>
      </c>
      <c r="N83" s="1193">
        <f t="shared" si="23"/>
        <v>0</v>
      </c>
      <c r="O83" s="1463">
        <f t="shared" si="24"/>
        <v>0</v>
      </c>
      <c r="P83" s="1488"/>
      <c r="Q83" s="1489"/>
      <c r="R83" s="1489"/>
      <c r="S83" s="1489"/>
      <c r="T83" s="1499"/>
      <c r="U83" s="1490"/>
      <c r="V83" s="1453"/>
      <c r="W83" s="1452"/>
      <c r="X83" s="1407">
        <f t="shared" si="27"/>
        <v>0</v>
      </c>
      <c r="Y83" s="1408">
        <f t="shared" si="28"/>
        <v>0</v>
      </c>
      <c r="Z83" s="1386"/>
      <c r="AA83" s="1653"/>
      <c r="AB83" s="734"/>
      <c r="AC83" s="734"/>
      <c r="AD83" s="734"/>
      <c r="AE83" s="1257">
        <f t="shared" si="31"/>
        <v>0</v>
      </c>
    </row>
    <row r="84" spans="1:31" ht="60.75" x14ac:dyDescent="0.3">
      <c r="A84" s="57"/>
      <c r="B84" s="63"/>
      <c r="C84" s="290" t="s">
        <v>451</v>
      </c>
      <c r="D84" s="1095" t="s">
        <v>751</v>
      </c>
      <c r="E84" s="1150">
        <f>10000</f>
        <v>10000</v>
      </c>
      <c r="F84" s="1151"/>
      <c r="G84" s="1151"/>
      <c r="H84" s="1152">
        <f t="shared" si="32"/>
        <v>10000</v>
      </c>
      <c r="I84" s="1252" t="s">
        <v>987</v>
      </c>
      <c r="J84" s="1193" t="s">
        <v>997</v>
      </c>
      <c r="K84" s="1629">
        <v>2000</v>
      </c>
      <c r="L84" s="1193">
        <f>H84/2000</f>
        <v>5</v>
      </c>
      <c r="M84" s="1193">
        <f t="shared" si="22"/>
        <v>4.4181320137845725</v>
      </c>
      <c r="N84" s="1193">
        <f t="shared" si="23"/>
        <v>10000</v>
      </c>
      <c r="O84" s="1463">
        <f t="shared" si="24"/>
        <v>8836.2640275691447</v>
      </c>
      <c r="P84" s="1505">
        <v>17700</v>
      </c>
      <c r="Q84" s="1506">
        <f>10263</f>
        <v>10263</v>
      </c>
      <c r="R84" s="1506"/>
      <c r="S84" s="1506"/>
      <c r="T84" s="1499">
        <f t="shared" si="25"/>
        <v>27963</v>
      </c>
      <c r="U84" s="1490" t="s">
        <v>1043</v>
      </c>
      <c r="V84" s="1453">
        <f t="shared" ref="V84:V89" si="34">P84+Q84+R84+S84</f>
        <v>27963</v>
      </c>
      <c r="W84" s="1451">
        <f t="shared" ref="W84:W89" si="35">V84/1.1317</f>
        <v>24708.845100291597</v>
      </c>
      <c r="X84" s="1407">
        <f t="shared" si="27"/>
        <v>17963</v>
      </c>
      <c r="Y84" s="1408">
        <f t="shared" si="28"/>
        <v>15872.581072722453</v>
      </c>
      <c r="Z84" s="1386" t="s">
        <v>997</v>
      </c>
      <c r="AA84" s="1653">
        <v>13000</v>
      </c>
      <c r="AB84" s="734">
        <f>V84/13000</f>
        <v>2.1509999999999998</v>
      </c>
      <c r="AC84" s="734">
        <f t="shared" si="29"/>
        <v>1.9006803923301228</v>
      </c>
      <c r="AD84" s="734">
        <f t="shared" si="30"/>
        <v>27962.999999999996</v>
      </c>
      <c r="AE84" s="1257">
        <f t="shared" si="31"/>
        <v>24708.845100291594</v>
      </c>
    </row>
    <row r="85" spans="1:31" ht="40.5" x14ac:dyDescent="0.3">
      <c r="A85" s="57"/>
      <c r="B85" s="63" t="s">
        <v>155</v>
      </c>
      <c r="C85" s="290" t="s">
        <v>452</v>
      </c>
      <c r="D85" s="1095" t="s">
        <v>750</v>
      </c>
      <c r="E85" s="1150"/>
      <c r="F85" s="1151"/>
      <c r="G85" s="1151"/>
      <c r="H85" s="1152">
        <f t="shared" si="32"/>
        <v>0</v>
      </c>
      <c r="I85" s="1252"/>
      <c r="J85" s="1193"/>
      <c r="K85" s="1629">
        <v>0</v>
      </c>
      <c r="L85" s="1193">
        <f t="shared" si="33"/>
        <v>0</v>
      </c>
      <c r="M85" s="1193">
        <f t="shared" si="22"/>
        <v>0</v>
      </c>
      <c r="N85" s="1193">
        <f t="shared" si="23"/>
        <v>0</v>
      </c>
      <c r="O85" s="1463">
        <f t="shared" si="24"/>
        <v>0</v>
      </c>
      <c r="P85" s="1507"/>
      <c r="Q85" s="1508"/>
      <c r="R85" s="1508">
        <f>23800</f>
        <v>23800</v>
      </c>
      <c r="S85" s="1508"/>
      <c r="T85" s="1499">
        <f t="shared" si="25"/>
        <v>23800</v>
      </c>
      <c r="U85" s="1490" t="s">
        <v>915</v>
      </c>
      <c r="V85" s="1453">
        <f t="shared" si="34"/>
        <v>23800</v>
      </c>
      <c r="W85" s="1451">
        <f t="shared" si="35"/>
        <v>21030.308385614564</v>
      </c>
      <c r="X85" s="1407">
        <f t="shared" si="27"/>
        <v>23800</v>
      </c>
      <c r="Y85" s="1408">
        <f t="shared" si="28"/>
        <v>21030.308385614564</v>
      </c>
      <c r="Z85" s="1386" t="s">
        <v>997</v>
      </c>
      <c r="AA85" s="1653">
        <v>2000</v>
      </c>
      <c r="AB85" s="734">
        <f>V85/2000</f>
        <v>11.9</v>
      </c>
      <c r="AC85" s="734">
        <f t="shared" si="29"/>
        <v>10.515154192807282</v>
      </c>
      <c r="AD85" s="734">
        <f t="shared" si="30"/>
        <v>23800</v>
      </c>
      <c r="AE85" s="1257">
        <f t="shared" si="31"/>
        <v>21030.308385614564</v>
      </c>
    </row>
    <row r="86" spans="1:31" ht="101.25" x14ac:dyDescent="0.3">
      <c r="A86" s="57"/>
      <c r="B86" s="63"/>
      <c r="C86" s="293" t="s">
        <v>453</v>
      </c>
      <c r="D86" s="1110" t="s">
        <v>749</v>
      </c>
      <c r="E86" s="1150"/>
      <c r="F86" s="1151"/>
      <c r="G86" s="1151"/>
      <c r="H86" s="1152">
        <f t="shared" si="32"/>
        <v>0</v>
      </c>
      <c r="I86" s="1252"/>
      <c r="J86" s="1193"/>
      <c r="K86" s="1629">
        <v>0</v>
      </c>
      <c r="L86" s="1193">
        <f t="shared" si="33"/>
        <v>0</v>
      </c>
      <c r="M86" s="1193">
        <f t="shared" si="22"/>
        <v>0</v>
      </c>
      <c r="N86" s="1193">
        <f t="shared" si="23"/>
        <v>0</v>
      </c>
      <c r="O86" s="1463">
        <f t="shared" si="24"/>
        <v>0</v>
      </c>
      <c r="P86" s="1505">
        <v>52390.5</v>
      </c>
      <c r="Q86" s="1508">
        <v>0</v>
      </c>
      <c r="R86" s="1508"/>
      <c r="S86" s="1508"/>
      <c r="T86" s="1499">
        <f t="shared" si="25"/>
        <v>52390.5</v>
      </c>
      <c r="U86" s="1490" t="s">
        <v>757</v>
      </c>
      <c r="V86" s="1453">
        <f t="shared" si="34"/>
        <v>52390.5</v>
      </c>
      <c r="W86" s="1451">
        <f t="shared" si="35"/>
        <v>46293.629053636127</v>
      </c>
      <c r="X86" s="1407">
        <f t="shared" si="27"/>
        <v>52390.5</v>
      </c>
      <c r="Y86" s="1408">
        <f t="shared" si="28"/>
        <v>46293.629053636127</v>
      </c>
      <c r="Z86" s="1386" t="s">
        <v>997</v>
      </c>
      <c r="AA86" s="1653">
        <v>3</v>
      </c>
      <c r="AB86" s="734">
        <f>V86/3</f>
        <v>17463.5</v>
      </c>
      <c r="AC86" s="734">
        <f t="shared" si="29"/>
        <v>15431.209684545374</v>
      </c>
      <c r="AD86" s="734">
        <f t="shared" si="30"/>
        <v>52390.5</v>
      </c>
      <c r="AE86" s="1257">
        <f t="shared" si="31"/>
        <v>46293.629053636127</v>
      </c>
    </row>
    <row r="87" spans="1:31" ht="141.75" x14ac:dyDescent="0.3">
      <c r="A87" s="57"/>
      <c r="B87" s="63"/>
      <c r="C87" s="443" t="s">
        <v>453</v>
      </c>
      <c r="D87" s="1110" t="s">
        <v>654</v>
      </c>
      <c r="E87" s="1150"/>
      <c r="F87" s="1151"/>
      <c r="G87" s="1151"/>
      <c r="H87" s="1152">
        <f t="shared" si="32"/>
        <v>0</v>
      </c>
      <c r="I87" s="1252"/>
      <c r="J87" s="1193"/>
      <c r="K87" s="1629">
        <v>0</v>
      </c>
      <c r="L87" s="1193">
        <f t="shared" si="33"/>
        <v>0</v>
      </c>
      <c r="M87" s="1193">
        <f t="shared" si="22"/>
        <v>0</v>
      </c>
      <c r="N87" s="1193">
        <f t="shared" si="23"/>
        <v>0</v>
      </c>
      <c r="O87" s="1463">
        <f t="shared" si="24"/>
        <v>0</v>
      </c>
      <c r="P87" s="1505">
        <v>0</v>
      </c>
      <c r="Q87" s="1508"/>
      <c r="R87" s="1506"/>
      <c r="S87" s="1508">
        <v>54600</v>
      </c>
      <c r="T87" s="1487">
        <f t="shared" ref="T87" si="36">SUM(P87:S87)</f>
        <v>54600</v>
      </c>
      <c r="U87" s="1490" t="s">
        <v>895</v>
      </c>
      <c r="V87" s="1453">
        <f t="shared" si="34"/>
        <v>54600</v>
      </c>
      <c r="W87" s="1451">
        <f t="shared" si="35"/>
        <v>48246.001590527529</v>
      </c>
      <c r="X87" s="1407">
        <f t="shared" si="27"/>
        <v>54600</v>
      </c>
      <c r="Y87" s="1408">
        <f t="shared" si="28"/>
        <v>48246.001590527529</v>
      </c>
      <c r="Z87" s="1386" t="s">
        <v>997</v>
      </c>
      <c r="AA87" s="1653">
        <v>26</v>
      </c>
      <c r="AB87" s="734">
        <f>V87/26</f>
        <v>2100</v>
      </c>
      <c r="AC87" s="734">
        <f t="shared" ref="AC87:AC89" si="37">AB87/1.1317</f>
        <v>1855.6154457895202</v>
      </c>
      <c r="AD87" s="734">
        <f t="shared" si="30"/>
        <v>54600</v>
      </c>
      <c r="AE87" s="1257">
        <f t="shared" si="31"/>
        <v>48246.001590527529</v>
      </c>
    </row>
    <row r="88" spans="1:31" ht="60.75" x14ac:dyDescent="0.3">
      <c r="A88" s="57"/>
      <c r="B88" s="138"/>
      <c r="C88" s="293" t="s">
        <v>455</v>
      </c>
      <c r="D88" s="1110" t="s">
        <v>456</v>
      </c>
      <c r="E88" s="1150"/>
      <c r="F88" s="1151"/>
      <c r="G88" s="1151"/>
      <c r="H88" s="1152">
        <f t="shared" si="32"/>
        <v>0</v>
      </c>
      <c r="I88" s="1252"/>
      <c r="J88" s="1193"/>
      <c r="K88" s="1629">
        <v>0</v>
      </c>
      <c r="L88" s="1193">
        <f t="shared" si="33"/>
        <v>0</v>
      </c>
      <c r="M88" s="1193">
        <f t="shared" si="22"/>
        <v>0</v>
      </c>
      <c r="N88" s="1193">
        <f t="shared" si="23"/>
        <v>0</v>
      </c>
      <c r="O88" s="1463">
        <f t="shared" si="24"/>
        <v>0</v>
      </c>
      <c r="P88" s="1509">
        <v>8073</v>
      </c>
      <c r="Q88" s="1508"/>
      <c r="R88" s="1508"/>
      <c r="S88" s="1508"/>
      <c r="T88" s="1499">
        <f t="shared" si="25"/>
        <v>8073</v>
      </c>
      <c r="U88" s="1490" t="s">
        <v>459</v>
      </c>
      <c r="V88" s="1453">
        <f t="shared" si="34"/>
        <v>8073</v>
      </c>
      <c r="W88" s="1451">
        <f t="shared" si="35"/>
        <v>7133.5159494565705</v>
      </c>
      <c r="X88" s="1407">
        <f t="shared" si="27"/>
        <v>8073</v>
      </c>
      <c r="Y88" s="1408">
        <f t="shared" si="28"/>
        <v>7133.5159494565705</v>
      </c>
      <c r="Z88" s="1386" t="s">
        <v>1015</v>
      </c>
      <c r="AA88" s="1653">
        <v>5</v>
      </c>
      <c r="AB88" s="734">
        <f>V88/5</f>
        <v>1614.6</v>
      </c>
      <c r="AC88" s="734">
        <f t="shared" si="37"/>
        <v>1426.703189891314</v>
      </c>
      <c r="AD88" s="734">
        <f t="shared" si="30"/>
        <v>8073</v>
      </c>
      <c r="AE88" s="1257">
        <f t="shared" si="31"/>
        <v>7133.5159494565705</v>
      </c>
    </row>
    <row r="89" spans="1:31" ht="41.25" thickBot="1" x14ac:dyDescent="0.35">
      <c r="A89" s="57"/>
      <c r="B89" s="63"/>
      <c r="C89" s="293" t="s">
        <v>457</v>
      </c>
      <c r="D89" s="1110" t="s">
        <v>458</v>
      </c>
      <c r="E89" s="1150"/>
      <c r="F89" s="1151"/>
      <c r="G89" s="1151"/>
      <c r="H89" s="1152">
        <f t="shared" si="32"/>
        <v>0</v>
      </c>
      <c r="I89" s="1252"/>
      <c r="J89" s="1193"/>
      <c r="K89" s="1629">
        <v>0</v>
      </c>
      <c r="L89" s="1193">
        <f t="shared" si="33"/>
        <v>0</v>
      </c>
      <c r="M89" s="1193">
        <f t="shared" si="22"/>
        <v>0</v>
      </c>
      <c r="N89" s="1193">
        <f t="shared" si="23"/>
        <v>0</v>
      </c>
      <c r="O89" s="1463">
        <f t="shared" si="24"/>
        <v>0</v>
      </c>
      <c r="P89" s="1510">
        <v>7346.5</v>
      </c>
      <c r="Q89" s="1508"/>
      <c r="R89" s="1508"/>
      <c r="S89" s="1508"/>
      <c r="T89" s="1499">
        <f t="shared" si="25"/>
        <v>7346.5</v>
      </c>
      <c r="U89" s="1490" t="s">
        <v>460</v>
      </c>
      <c r="V89" s="1453">
        <f t="shared" si="34"/>
        <v>7346.5</v>
      </c>
      <c r="W89" s="1451">
        <f t="shared" si="35"/>
        <v>6491.561367853672</v>
      </c>
      <c r="X89" s="1407">
        <f t="shared" si="27"/>
        <v>7346.5</v>
      </c>
      <c r="Y89" s="1408">
        <f t="shared" si="28"/>
        <v>6491.561367853672</v>
      </c>
      <c r="Z89" s="1386" t="s">
        <v>1015</v>
      </c>
      <c r="AA89" s="1653">
        <v>5</v>
      </c>
      <c r="AB89" s="734">
        <f>V89/5</f>
        <v>1469.3</v>
      </c>
      <c r="AC89" s="734">
        <f t="shared" si="37"/>
        <v>1298.3122735707343</v>
      </c>
      <c r="AD89" s="734">
        <f t="shared" si="30"/>
        <v>7346.5</v>
      </c>
      <c r="AE89" s="1257">
        <f t="shared" si="31"/>
        <v>6491.561367853672</v>
      </c>
    </row>
    <row r="90" spans="1:31" ht="28.5" customHeight="1" thickBot="1" x14ac:dyDescent="0.35">
      <c r="A90" s="57"/>
      <c r="B90" s="142"/>
      <c r="C90" s="760"/>
      <c r="D90" s="1114"/>
      <c r="E90" s="1194"/>
      <c r="F90" s="1195"/>
      <c r="G90" s="1195"/>
      <c r="H90" s="1196"/>
      <c r="I90" s="1197"/>
      <c r="J90" s="1198"/>
      <c r="K90" s="1630"/>
      <c r="L90" s="1198"/>
      <c r="M90" s="1198"/>
      <c r="N90" s="1198"/>
      <c r="O90" s="1464"/>
      <c r="P90" s="1498"/>
      <c r="Q90" s="1499"/>
      <c r="R90" s="1499"/>
      <c r="S90" s="1499"/>
      <c r="T90" s="1499"/>
      <c r="U90" s="1511"/>
      <c r="V90" s="1417"/>
      <c r="W90" s="1418"/>
      <c r="X90" s="1417"/>
      <c r="Y90" s="1418"/>
      <c r="Z90" s="1387"/>
      <c r="AA90" s="1658"/>
      <c r="AB90" s="761"/>
      <c r="AC90" s="761"/>
      <c r="AD90" s="761"/>
      <c r="AE90" s="761"/>
    </row>
    <row r="91" spans="1:31" ht="34.5" customHeight="1" thickBot="1" x14ac:dyDescent="0.35">
      <c r="A91" s="65"/>
      <c r="B91" s="143" t="s">
        <v>45</v>
      </c>
      <c r="C91" s="746"/>
      <c r="D91" s="1115"/>
      <c r="E91" s="1173">
        <f>SUM(E79:E89)</f>
        <v>129200</v>
      </c>
      <c r="F91" s="1174">
        <f t="shared" ref="F91:H91" si="38">SUM(F79:F89)</f>
        <v>0</v>
      </c>
      <c r="G91" s="1174">
        <f t="shared" si="38"/>
        <v>0</v>
      </c>
      <c r="H91" s="1175">
        <f t="shared" si="38"/>
        <v>129200</v>
      </c>
      <c r="I91" s="1144"/>
      <c r="J91" s="751"/>
      <c r="K91" s="1631"/>
      <c r="L91" s="751"/>
      <c r="M91" s="751"/>
      <c r="N91" s="751">
        <f t="shared" ref="N91:T91" si="39">SUM(N79:N90)</f>
        <v>129200</v>
      </c>
      <c r="O91" s="1465">
        <f>SUM(O79:O90)-0.53</f>
        <v>114164.00123619335</v>
      </c>
      <c r="P91" s="1411">
        <f t="shared" si="39"/>
        <v>98886</v>
      </c>
      <c r="Q91" s="1495">
        <f t="shared" si="39"/>
        <v>39013</v>
      </c>
      <c r="R91" s="1495">
        <f t="shared" si="39"/>
        <v>53320</v>
      </c>
      <c r="S91" s="1495">
        <f t="shared" si="39"/>
        <v>64600</v>
      </c>
      <c r="T91" s="1495">
        <f t="shared" si="39"/>
        <v>255819</v>
      </c>
      <c r="U91" s="1412"/>
      <c r="V91" s="1411">
        <f>SUM(V79:V90)</f>
        <v>255819</v>
      </c>
      <c r="W91" s="1412">
        <f>SUM(W79:W90)</f>
        <v>226048.4227268711</v>
      </c>
      <c r="X91" s="1411">
        <f>SUM(X79:X90)</f>
        <v>126619</v>
      </c>
      <c r="Y91" s="1412">
        <f>SUM(Y79:Y90)</f>
        <v>111883.89149067776</v>
      </c>
      <c r="Z91" s="1298"/>
      <c r="AA91" s="1631"/>
      <c r="AB91" s="751"/>
      <c r="AC91" s="751">
        <f>SUM(AC79:AC90)</f>
        <v>28923.412270625315</v>
      </c>
      <c r="AD91" s="751">
        <f>SUM(AD79:AD90)</f>
        <v>255819</v>
      </c>
      <c r="AE91" s="751">
        <f>SUM(AE79:AE90)</f>
        <v>226048.4227268711</v>
      </c>
    </row>
    <row r="92" spans="1:31" ht="34.5" customHeight="1" thickBot="1" x14ac:dyDescent="0.35">
      <c r="A92" s="284"/>
      <c r="B92" s="1305"/>
      <c r="C92" s="1306"/>
      <c r="D92" s="1307" t="s">
        <v>1030</v>
      </c>
      <c r="E92" s="1308"/>
      <c r="F92" s="1306"/>
      <c r="G92" s="1306"/>
      <c r="H92" s="1309"/>
      <c r="I92" s="1310"/>
      <c r="J92" s="1311"/>
      <c r="K92" s="1632"/>
      <c r="L92" s="1311"/>
      <c r="M92" s="1311"/>
      <c r="N92" s="1311">
        <f>N76+N91</f>
        <v>345510</v>
      </c>
      <c r="O92" s="1377">
        <f>O76+O91-0.53</f>
        <v>305300.46841654147</v>
      </c>
      <c r="P92" s="1419"/>
      <c r="Q92" s="1312"/>
      <c r="R92" s="1312"/>
      <c r="S92" s="1312"/>
      <c r="T92" s="1312">
        <f>T76+T91</f>
        <v>912444.14</v>
      </c>
      <c r="U92" s="1420"/>
      <c r="V92" s="1419">
        <f>V76+V91</f>
        <v>912444.14</v>
      </c>
      <c r="W92" s="1420">
        <f>W76+W91</f>
        <v>806259.73314482637</v>
      </c>
      <c r="X92" s="1419">
        <f>X76+X91</f>
        <v>566934.14</v>
      </c>
      <c r="Y92" s="1420">
        <f>Y76+Y91</f>
        <v>500957.97472828493</v>
      </c>
      <c r="Z92" s="1388"/>
      <c r="AA92" s="1632"/>
      <c r="AB92" s="1311"/>
      <c r="AC92" s="1311"/>
      <c r="AD92" s="1311">
        <f>AD76+AD91</f>
        <v>912444.14</v>
      </c>
      <c r="AE92" s="1311">
        <f>AE76+AE91</f>
        <v>806259.73314482637</v>
      </c>
    </row>
    <row r="93" spans="1:31" ht="20.25" x14ac:dyDescent="0.3">
      <c r="A93" s="57"/>
      <c r="B93" s="144"/>
      <c r="C93" s="762"/>
      <c r="D93" s="1095"/>
      <c r="E93" s="1179"/>
      <c r="F93" s="1180"/>
      <c r="G93" s="1180"/>
      <c r="H93" s="1181"/>
      <c r="I93" s="1142"/>
      <c r="J93" s="763"/>
      <c r="K93" s="1627"/>
      <c r="L93" s="763"/>
      <c r="M93" s="763"/>
      <c r="N93" s="763"/>
      <c r="O93" s="1466"/>
      <c r="P93" s="1484"/>
      <c r="Q93" s="1485"/>
      <c r="R93" s="1485"/>
      <c r="S93" s="1485"/>
      <c r="T93" s="1485"/>
      <c r="U93" s="1414"/>
      <c r="V93" s="1413"/>
      <c r="W93" s="1442"/>
      <c r="X93" s="1413"/>
      <c r="Y93" s="1414"/>
      <c r="Z93" s="1384"/>
      <c r="AA93" s="1627"/>
      <c r="AB93" s="763"/>
      <c r="AC93" s="763"/>
      <c r="AD93" s="763"/>
      <c r="AE93" s="763"/>
    </row>
    <row r="94" spans="1:31" ht="31.5" customHeight="1" x14ac:dyDescent="0.3">
      <c r="A94" s="22">
        <v>2</v>
      </c>
      <c r="B94" s="145" t="s">
        <v>82</v>
      </c>
      <c r="C94" s="146"/>
      <c r="D94" s="1116"/>
      <c r="E94" s="1155"/>
      <c r="F94" s="1156"/>
      <c r="G94" s="1156"/>
      <c r="H94" s="1157"/>
      <c r="I94" s="1145"/>
      <c r="J94" s="735"/>
      <c r="K94" s="1633"/>
      <c r="L94" s="735"/>
      <c r="M94" s="735"/>
      <c r="N94" s="735"/>
      <c r="O94" s="1468"/>
      <c r="P94" s="1512"/>
      <c r="Q94" s="831"/>
      <c r="R94" s="1487"/>
      <c r="S94" s="1487"/>
      <c r="T94" s="1487"/>
      <c r="U94" s="1416"/>
      <c r="V94" s="1415"/>
      <c r="W94" s="1452"/>
      <c r="X94" s="1415"/>
      <c r="Y94" s="1416"/>
      <c r="Z94" s="1389"/>
      <c r="AA94" s="1633"/>
      <c r="AB94" s="735"/>
      <c r="AC94" s="735"/>
      <c r="AD94" s="735"/>
      <c r="AE94" s="735"/>
    </row>
    <row r="95" spans="1:31" ht="69.75" customHeight="1" x14ac:dyDescent="0.3">
      <c r="A95" s="69">
        <v>2.1</v>
      </c>
      <c r="B95" s="2728" t="s">
        <v>83</v>
      </c>
      <c r="C95" s="2729"/>
      <c r="D95" s="2727"/>
      <c r="E95" s="1147"/>
      <c r="F95" s="1148"/>
      <c r="G95" s="1148"/>
      <c r="H95" s="1149"/>
      <c r="I95" s="1143"/>
      <c r="J95" s="735"/>
      <c r="K95" s="1633"/>
      <c r="L95" s="735"/>
      <c r="M95" s="735"/>
      <c r="N95" s="735"/>
      <c r="O95" s="1468"/>
      <c r="P95" s="1484"/>
      <c r="Q95" s="1485"/>
      <c r="R95" s="1485"/>
      <c r="S95" s="1485"/>
      <c r="T95" s="1485"/>
      <c r="U95" s="1416"/>
      <c r="V95" s="1415"/>
      <c r="W95" s="1452"/>
      <c r="X95" s="1415"/>
      <c r="Y95" s="1416"/>
      <c r="Z95" s="1389"/>
      <c r="AA95" s="1633"/>
      <c r="AB95" s="735"/>
      <c r="AC95" s="735"/>
      <c r="AD95" s="735"/>
      <c r="AE95" s="735"/>
    </row>
    <row r="96" spans="1:31" ht="162" x14ac:dyDescent="0.3">
      <c r="A96" s="57"/>
      <c r="B96" s="170"/>
      <c r="C96" s="171" t="s">
        <v>85</v>
      </c>
      <c r="D96" s="1117" t="s">
        <v>587</v>
      </c>
      <c r="E96" s="1203">
        <f>17070</f>
        <v>17070</v>
      </c>
      <c r="F96" s="1204"/>
      <c r="G96" s="1204"/>
      <c r="H96" s="1205">
        <f>SUM(E96:G96)</f>
        <v>17070</v>
      </c>
      <c r="I96" s="1201" t="s">
        <v>84</v>
      </c>
      <c r="J96" s="1200" t="s">
        <v>993</v>
      </c>
      <c r="K96" s="1634">
        <v>30</v>
      </c>
      <c r="L96" s="1200">
        <f>H96/30</f>
        <v>569</v>
      </c>
      <c r="M96" s="1200">
        <f t="shared" ref="M96:M110" si="40">L96/1.1317</f>
        <v>502.78342316868429</v>
      </c>
      <c r="N96" s="1200">
        <f t="shared" ref="N96:N110" si="41">K96*L96</f>
        <v>17070</v>
      </c>
      <c r="O96" s="1463">
        <f t="shared" ref="O96:O110" si="42">N96/1.1317</f>
        <v>15083.50269506053</v>
      </c>
      <c r="P96" s="1488">
        <f>18932</f>
        <v>18932</v>
      </c>
      <c r="Q96" s="1489"/>
      <c r="R96" s="1489"/>
      <c r="S96" s="1489"/>
      <c r="T96" s="1487">
        <f t="shared" ref="T96:T110" si="43">SUM(P96:S96)</f>
        <v>18932</v>
      </c>
      <c r="U96" s="1490" t="s">
        <v>588</v>
      </c>
      <c r="V96" s="1407">
        <f t="shared" ref="V96:V110" si="44">P96+Q96+R96+S96</f>
        <v>18932</v>
      </c>
      <c r="W96" s="1451">
        <f t="shared" ref="W96:W110" si="45">V96/1.1317</f>
        <v>16728.815056993903</v>
      </c>
      <c r="X96" s="1407">
        <f t="shared" ref="X96:X110" si="46">V96-N96</f>
        <v>1862</v>
      </c>
      <c r="Y96" s="1408">
        <f t="shared" ref="Y96:Y110" si="47">W96-O96</f>
        <v>1645.3123619333728</v>
      </c>
      <c r="Z96" s="1386" t="s">
        <v>993</v>
      </c>
      <c r="AA96" s="1634">
        <v>1</v>
      </c>
      <c r="AB96" s="1200">
        <v>18932</v>
      </c>
      <c r="AC96" s="1200">
        <f t="shared" ref="AC96:AC105" si="48">AB96/1.1317</f>
        <v>16728.815056993903</v>
      </c>
      <c r="AD96" s="1200">
        <f t="shared" ref="AD96:AD105" si="49">AA96*AB96</f>
        <v>18932</v>
      </c>
      <c r="AE96" s="1257">
        <f t="shared" ref="AE96:AE110" si="50">AD96/1.1317</f>
        <v>16728.815056993903</v>
      </c>
    </row>
    <row r="97" spans="1:31" ht="101.25" x14ac:dyDescent="0.3">
      <c r="A97" s="57"/>
      <c r="B97" s="1092"/>
      <c r="C97" s="207" t="s">
        <v>87</v>
      </c>
      <c r="D97" s="2235" t="s">
        <v>886</v>
      </c>
      <c r="E97" s="1203">
        <v>76875</v>
      </c>
      <c r="F97" s="1204"/>
      <c r="G97" s="1204"/>
      <c r="H97" s="1205">
        <f t="shared" ref="H97:H110" si="51">SUM(E97:G97)</f>
        <v>76875</v>
      </c>
      <c r="I97" s="1201" t="s">
        <v>88</v>
      </c>
      <c r="J97" s="1200" t="s">
        <v>994</v>
      </c>
      <c r="K97" s="1634">
        <v>2</v>
      </c>
      <c r="L97" s="1200">
        <f>H97/2</f>
        <v>38437.5</v>
      </c>
      <c r="M97" s="1200">
        <f t="shared" si="40"/>
        <v>33964.389855968897</v>
      </c>
      <c r="N97" s="1200">
        <f t="shared" si="41"/>
        <v>76875</v>
      </c>
      <c r="O97" s="1463">
        <f t="shared" si="42"/>
        <v>67928.779711937794</v>
      </c>
      <c r="P97" s="1488">
        <f>80153</f>
        <v>80153</v>
      </c>
      <c r="Q97" s="1489">
        <f>207167</f>
        <v>207167</v>
      </c>
      <c r="R97" s="1489">
        <f>49600</f>
        <v>49600</v>
      </c>
      <c r="S97" s="1489"/>
      <c r="T97" s="1487">
        <f t="shared" si="43"/>
        <v>336920</v>
      </c>
      <c r="U97" s="1490" t="s">
        <v>916</v>
      </c>
      <c r="V97" s="1407">
        <f t="shared" si="44"/>
        <v>336920</v>
      </c>
      <c r="W97" s="1451">
        <f t="shared" si="45"/>
        <v>297711.40761685959</v>
      </c>
      <c r="X97" s="1407">
        <f t="shared" si="46"/>
        <v>260045</v>
      </c>
      <c r="Y97" s="1408">
        <f t="shared" si="47"/>
        <v>229782.6279049218</v>
      </c>
      <c r="Z97" s="1386" t="s">
        <v>994</v>
      </c>
      <c r="AA97" s="1634">
        <v>14</v>
      </c>
      <c r="AB97" s="1200">
        <f>V97/14</f>
        <v>24065.714285714286</v>
      </c>
      <c r="AC97" s="1200">
        <f t="shared" si="48"/>
        <v>21265.100544061403</v>
      </c>
      <c r="AD97" s="1200">
        <f t="shared" si="49"/>
        <v>336920</v>
      </c>
      <c r="AE97" s="1257">
        <f t="shared" si="50"/>
        <v>297711.40761685959</v>
      </c>
    </row>
    <row r="98" spans="1:31" ht="60.75" x14ac:dyDescent="0.3">
      <c r="A98" s="74"/>
      <c r="B98" s="63"/>
      <c r="C98" s="277" t="s">
        <v>89</v>
      </c>
      <c r="D98" s="1095" t="s">
        <v>870</v>
      </c>
      <c r="E98" s="1203">
        <v>8400</v>
      </c>
      <c r="F98" s="1204">
        <v>11200</v>
      </c>
      <c r="G98" s="1204"/>
      <c r="H98" s="1205">
        <f t="shared" si="51"/>
        <v>19600</v>
      </c>
      <c r="I98" s="1202" t="s">
        <v>90</v>
      </c>
      <c r="J98" s="1200"/>
      <c r="K98" s="1634">
        <v>2800</v>
      </c>
      <c r="L98" s="1200">
        <f>H98/2800</f>
        <v>7</v>
      </c>
      <c r="M98" s="1200">
        <f t="shared" si="40"/>
        <v>6.1853848192984007</v>
      </c>
      <c r="N98" s="1200">
        <f t="shared" si="41"/>
        <v>19600</v>
      </c>
      <c r="O98" s="1463">
        <f t="shared" si="42"/>
        <v>17319.077494035522</v>
      </c>
      <c r="P98" s="1488"/>
      <c r="Q98" s="1489"/>
      <c r="R98" s="1489">
        <f>3888</f>
        <v>3888</v>
      </c>
      <c r="S98" s="1489">
        <f>2000</f>
        <v>2000</v>
      </c>
      <c r="T98" s="1487">
        <f t="shared" si="43"/>
        <v>5888</v>
      </c>
      <c r="U98" s="1490" t="s">
        <v>887</v>
      </c>
      <c r="V98" s="1407">
        <f t="shared" si="44"/>
        <v>5888</v>
      </c>
      <c r="W98" s="1451">
        <f t="shared" si="45"/>
        <v>5202.7922594327119</v>
      </c>
      <c r="X98" s="1407">
        <f t="shared" si="46"/>
        <v>-13712</v>
      </c>
      <c r="Y98" s="1408">
        <f t="shared" si="47"/>
        <v>-12116.28523460281</v>
      </c>
      <c r="Z98" s="1386" t="s">
        <v>1035</v>
      </c>
      <c r="AA98" s="1634">
        <v>400</v>
      </c>
      <c r="AB98" s="1200">
        <f>V98/400</f>
        <v>14.72</v>
      </c>
      <c r="AC98" s="1200">
        <f t="shared" si="48"/>
        <v>13.006980648581781</v>
      </c>
      <c r="AD98" s="1200">
        <f t="shared" si="49"/>
        <v>5888</v>
      </c>
      <c r="AE98" s="1257">
        <f t="shared" si="50"/>
        <v>5202.7922594327119</v>
      </c>
    </row>
    <row r="99" spans="1:31" ht="81" x14ac:dyDescent="0.3">
      <c r="A99" s="57"/>
      <c r="B99" s="63"/>
      <c r="C99" s="301" t="s">
        <v>91</v>
      </c>
      <c r="D99" s="1110" t="s">
        <v>901</v>
      </c>
      <c r="E99" s="1203">
        <f>2400</f>
        <v>2400</v>
      </c>
      <c r="F99" s="1204">
        <f>2400</f>
        <v>2400</v>
      </c>
      <c r="G99" s="1204">
        <f>2400</f>
        <v>2400</v>
      </c>
      <c r="H99" s="1205">
        <f t="shared" si="51"/>
        <v>7200</v>
      </c>
      <c r="I99" s="1201" t="s">
        <v>92</v>
      </c>
      <c r="J99" s="1200"/>
      <c r="K99" s="1634">
        <v>3</v>
      </c>
      <c r="L99" s="1200">
        <f>H99/3</f>
        <v>2400</v>
      </c>
      <c r="M99" s="1200">
        <f t="shared" si="40"/>
        <v>2120.7033666165948</v>
      </c>
      <c r="N99" s="1200">
        <f t="shared" si="41"/>
        <v>7200</v>
      </c>
      <c r="O99" s="1463">
        <f t="shared" si="42"/>
        <v>6362.1100998497841</v>
      </c>
      <c r="P99" s="1488"/>
      <c r="Q99" s="1489">
        <f>652</f>
        <v>652</v>
      </c>
      <c r="R99" s="1489"/>
      <c r="S99" s="1489"/>
      <c r="T99" s="1487">
        <f t="shared" si="43"/>
        <v>652</v>
      </c>
      <c r="U99" s="1490" t="s">
        <v>888</v>
      </c>
      <c r="V99" s="1407">
        <f t="shared" si="44"/>
        <v>652</v>
      </c>
      <c r="W99" s="1451">
        <f t="shared" si="45"/>
        <v>576.12441459750823</v>
      </c>
      <c r="X99" s="1407">
        <f t="shared" si="46"/>
        <v>-6548</v>
      </c>
      <c r="Y99" s="1408">
        <f t="shared" si="47"/>
        <v>-5785.9856852522762</v>
      </c>
      <c r="Z99" s="1386" t="s">
        <v>1000</v>
      </c>
      <c r="AA99" s="1634">
        <v>1</v>
      </c>
      <c r="AB99" s="1200">
        <f>V99/1</f>
        <v>652</v>
      </c>
      <c r="AC99" s="1200">
        <f t="shared" si="48"/>
        <v>576.12441459750823</v>
      </c>
      <c r="AD99" s="1200">
        <f t="shared" si="49"/>
        <v>652</v>
      </c>
      <c r="AE99" s="1257">
        <f t="shared" si="50"/>
        <v>576.12441459750823</v>
      </c>
    </row>
    <row r="100" spans="1:31" ht="121.5" x14ac:dyDescent="0.3">
      <c r="A100" s="224"/>
      <c r="B100" s="204"/>
      <c r="C100" s="454" t="s">
        <v>462</v>
      </c>
      <c r="D100" s="1110" t="s">
        <v>655</v>
      </c>
      <c r="E100" s="1203"/>
      <c r="F100" s="1204"/>
      <c r="G100" s="1204"/>
      <c r="H100" s="1205">
        <f t="shared" si="51"/>
        <v>0</v>
      </c>
      <c r="I100" s="1201"/>
      <c r="J100" s="1200"/>
      <c r="K100" s="1634">
        <v>0</v>
      </c>
      <c r="L100" s="1200">
        <f t="shared" ref="L100:L110" si="52">H100/15</f>
        <v>0</v>
      </c>
      <c r="M100" s="1200">
        <f t="shared" si="40"/>
        <v>0</v>
      </c>
      <c r="N100" s="1200">
        <f t="shared" si="41"/>
        <v>0</v>
      </c>
      <c r="O100" s="1463">
        <f t="shared" si="42"/>
        <v>0</v>
      </c>
      <c r="P100" s="1488"/>
      <c r="Q100" s="1489"/>
      <c r="R100" s="1489"/>
      <c r="S100" s="1489">
        <f>63000</f>
        <v>63000</v>
      </c>
      <c r="T100" s="1487">
        <f>SUM(P100:S100)</f>
        <v>63000</v>
      </c>
      <c r="U100" s="1490" t="s">
        <v>872</v>
      </c>
      <c r="V100" s="1407">
        <f t="shared" si="44"/>
        <v>63000</v>
      </c>
      <c r="W100" s="1451">
        <f t="shared" si="45"/>
        <v>55668.463373685612</v>
      </c>
      <c r="X100" s="1407">
        <f t="shared" si="46"/>
        <v>63000</v>
      </c>
      <c r="Y100" s="1408">
        <f t="shared" si="47"/>
        <v>55668.463373685612</v>
      </c>
      <c r="Z100" s="1386" t="s">
        <v>1036</v>
      </c>
      <c r="AA100" s="1634">
        <v>60</v>
      </c>
      <c r="AB100" s="1200">
        <f>V100/60</f>
        <v>1050</v>
      </c>
      <c r="AC100" s="1200">
        <f>AB100/1.1317</f>
        <v>927.8077228947601</v>
      </c>
      <c r="AD100" s="1200">
        <f>AA100*AB100</f>
        <v>63000</v>
      </c>
      <c r="AE100" s="1257">
        <f t="shared" si="50"/>
        <v>55668.463373685612</v>
      </c>
    </row>
    <row r="101" spans="1:31" ht="60.75" x14ac:dyDescent="0.3">
      <c r="A101" s="74"/>
      <c r="B101" s="63"/>
      <c r="C101" s="301" t="s">
        <v>977</v>
      </c>
      <c r="D101" s="1110" t="s">
        <v>463</v>
      </c>
      <c r="E101" s="1203"/>
      <c r="F101" s="1204"/>
      <c r="G101" s="1204"/>
      <c r="H101" s="1205">
        <f t="shared" si="51"/>
        <v>0</v>
      </c>
      <c r="I101" s="1201"/>
      <c r="J101" s="1200"/>
      <c r="K101" s="1634">
        <v>0</v>
      </c>
      <c r="L101" s="1200">
        <f t="shared" si="52"/>
        <v>0</v>
      </c>
      <c r="M101" s="1200">
        <f t="shared" si="40"/>
        <v>0</v>
      </c>
      <c r="N101" s="1200">
        <f t="shared" si="41"/>
        <v>0</v>
      </c>
      <c r="O101" s="1463">
        <f t="shared" si="42"/>
        <v>0</v>
      </c>
      <c r="P101" s="1488">
        <v>0</v>
      </c>
      <c r="Q101" s="1489">
        <v>0</v>
      </c>
      <c r="R101" s="1489"/>
      <c r="S101" s="1489"/>
      <c r="T101" s="1487">
        <f t="shared" si="43"/>
        <v>0</v>
      </c>
      <c r="U101" s="1490" t="s">
        <v>894</v>
      </c>
      <c r="V101" s="1407">
        <f t="shared" si="44"/>
        <v>0</v>
      </c>
      <c r="W101" s="1451">
        <f t="shared" si="45"/>
        <v>0</v>
      </c>
      <c r="X101" s="1407">
        <f t="shared" si="46"/>
        <v>0</v>
      </c>
      <c r="Y101" s="1408">
        <f t="shared" si="47"/>
        <v>0</v>
      </c>
      <c r="Z101" s="1386"/>
      <c r="AA101" s="1634">
        <v>0</v>
      </c>
      <c r="AB101" s="1200">
        <f>V101/25</f>
        <v>0</v>
      </c>
      <c r="AC101" s="1200">
        <f t="shared" si="48"/>
        <v>0</v>
      </c>
      <c r="AD101" s="1200">
        <f t="shared" si="49"/>
        <v>0</v>
      </c>
      <c r="AE101" s="1257">
        <f t="shared" si="50"/>
        <v>0</v>
      </c>
    </row>
    <row r="102" spans="1:31" ht="121.5" x14ac:dyDescent="0.3">
      <c r="A102" s="57"/>
      <c r="B102" s="63"/>
      <c r="C102" s="301" t="s">
        <v>93</v>
      </c>
      <c r="D102" s="1110" t="s">
        <v>788</v>
      </c>
      <c r="E102" s="1203">
        <v>29475</v>
      </c>
      <c r="F102" s="1204">
        <v>24662.5</v>
      </c>
      <c r="G102" s="1204"/>
      <c r="H102" s="1205">
        <f t="shared" si="51"/>
        <v>54137.5</v>
      </c>
      <c r="I102" s="1201" t="s">
        <v>330</v>
      </c>
      <c r="J102" s="1200" t="s">
        <v>993</v>
      </c>
      <c r="K102" s="1634">
        <v>76</v>
      </c>
      <c r="L102" s="1200">
        <f>H102/76</f>
        <v>712.33552631578948</v>
      </c>
      <c r="M102" s="1200">
        <f t="shared" si="40"/>
        <v>629.43847867437444</v>
      </c>
      <c r="N102" s="1200">
        <f t="shared" si="41"/>
        <v>54137.5</v>
      </c>
      <c r="O102" s="1463">
        <f t="shared" si="42"/>
        <v>47837.324379252452</v>
      </c>
      <c r="P102" s="1488">
        <f>10106</f>
        <v>10106</v>
      </c>
      <c r="Q102" s="1489">
        <f>7532</f>
        <v>7532</v>
      </c>
      <c r="R102" s="1489"/>
      <c r="S102" s="1489"/>
      <c r="T102" s="1487">
        <f t="shared" si="43"/>
        <v>17638</v>
      </c>
      <c r="U102" s="1490" t="s">
        <v>1044</v>
      </c>
      <c r="V102" s="1407">
        <f t="shared" si="44"/>
        <v>17638</v>
      </c>
      <c r="W102" s="1451">
        <f t="shared" si="45"/>
        <v>15585.402491826457</v>
      </c>
      <c r="X102" s="1407">
        <f t="shared" si="46"/>
        <v>-36499.5</v>
      </c>
      <c r="Y102" s="1408">
        <f t="shared" si="47"/>
        <v>-32251.921887425997</v>
      </c>
      <c r="Z102" s="1386" t="s">
        <v>993</v>
      </c>
      <c r="AA102" s="1634">
        <v>250</v>
      </c>
      <c r="AB102" s="1200">
        <f>V102/250</f>
        <v>70.552000000000007</v>
      </c>
      <c r="AC102" s="1200">
        <f t="shared" si="48"/>
        <v>62.341609967305835</v>
      </c>
      <c r="AD102" s="1200">
        <f t="shared" si="49"/>
        <v>17638</v>
      </c>
      <c r="AE102" s="1257">
        <f t="shared" si="50"/>
        <v>15585.402491826457</v>
      </c>
    </row>
    <row r="103" spans="1:31" ht="121.5" x14ac:dyDescent="0.3">
      <c r="A103" s="74"/>
      <c r="B103" s="63"/>
      <c r="C103" s="301" t="s">
        <v>464</v>
      </c>
      <c r="D103" s="1110" t="s">
        <v>465</v>
      </c>
      <c r="E103" s="1203"/>
      <c r="F103" s="1204"/>
      <c r="G103" s="1204"/>
      <c r="H103" s="1205">
        <f t="shared" si="51"/>
        <v>0</v>
      </c>
      <c r="I103" s="1201"/>
      <c r="J103" s="1200"/>
      <c r="K103" s="1634">
        <v>0</v>
      </c>
      <c r="L103" s="1200">
        <f t="shared" si="52"/>
        <v>0</v>
      </c>
      <c r="M103" s="1200">
        <f t="shared" si="40"/>
        <v>0</v>
      </c>
      <c r="N103" s="1200">
        <f t="shared" si="41"/>
        <v>0</v>
      </c>
      <c r="O103" s="1463">
        <f t="shared" si="42"/>
        <v>0</v>
      </c>
      <c r="P103" s="1488">
        <v>25540</v>
      </c>
      <c r="Q103" s="1489"/>
      <c r="R103" s="1489">
        <v>46780</v>
      </c>
      <c r="S103" s="1489"/>
      <c r="T103" s="1487">
        <f t="shared" si="43"/>
        <v>72320</v>
      </c>
      <c r="U103" s="1490" t="s">
        <v>1045</v>
      </c>
      <c r="V103" s="1407">
        <f t="shared" si="44"/>
        <v>72320</v>
      </c>
      <c r="W103" s="1451">
        <f t="shared" si="45"/>
        <v>63903.861447380055</v>
      </c>
      <c r="X103" s="1407">
        <f t="shared" si="46"/>
        <v>72320</v>
      </c>
      <c r="Y103" s="1408">
        <f t="shared" si="47"/>
        <v>63903.861447380055</v>
      </c>
      <c r="Z103" s="1386" t="s">
        <v>993</v>
      </c>
      <c r="AA103" s="1634">
        <v>55</v>
      </c>
      <c r="AB103" s="1200">
        <f>V103/55</f>
        <v>1314.909090909091</v>
      </c>
      <c r="AC103" s="1200">
        <f t="shared" si="48"/>
        <v>1161.8883899523646</v>
      </c>
      <c r="AD103" s="1200">
        <f t="shared" si="49"/>
        <v>72320</v>
      </c>
      <c r="AE103" s="1257">
        <f t="shared" si="50"/>
        <v>63903.861447380055</v>
      </c>
    </row>
    <row r="104" spans="1:31" ht="121.5" x14ac:dyDescent="0.3">
      <c r="A104" s="57"/>
      <c r="B104" s="63"/>
      <c r="C104" s="301" t="s">
        <v>94</v>
      </c>
      <c r="D104" s="1110" t="s">
        <v>332</v>
      </c>
      <c r="E104" s="1203">
        <f>12100</f>
        <v>12100</v>
      </c>
      <c r="F104" s="1204">
        <f>18400</f>
        <v>18400</v>
      </c>
      <c r="G104" s="1204"/>
      <c r="H104" s="1205">
        <f t="shared" si="51"/>
        <v>30500</v>
      </c>
      <c r="I104" s="1201" t="s">
        <v>331</v>
      </c>
      <c r="J104" s="1200"/>
      <c r="K104" s="1634">
        <v>500</v>
      </c>
      <c r="L104" s="1200">
        <f>H104/500</f>
        <v>61</v>
      </c>
      <c r="M104" s="1200">
        <f t="shared" si="40"/>
        <v>53.901210568171777</v>
      </c>
      <c r="N104" s="1200">
        <f t="shared" si="41"/>
        <v>30500</v>
      </c>
      <c r="O104" s="1463">
        <f t="shared" si="42"/>
        <v>26950.60528408589</v>
      </c>
      <c r="P104" s="1488"/>
      <c r="Q104" s="1489"/>
      <c r="R104" s="1489">
        <f>9704</f>
        <v>9704</v>
      </c>
      <c r="S104" s="1489">
        <f>11200</f>
        <v>11200</v>
      </c>
      <c r="T104" s="1487">
        <f t="shared" si="43"/>
        <v>20904</v>
      </c>
      <c r="U104" s="1490" t="s">
        <v>1046</v>
      </c>
      <c r="V104" s="1407">
        <f t="shared" si="44"/>
        <v>20904</v>
      </c>
      <c r="W104" s="1451">
        <f t="shared" si="45"/>
        <v>18471.32632323054</v>
      </c>
      <c r="X104" s="1407">
        <f t="shared" si="46"/>
        <v>-9596</v>
      </c>
      <c r="Y104" s="1408">
        <f t="shared" si="47"/>
        <v>-8479.2789608553503</v>
      </c>
      <c r="Z104" s="1386" t="s">
        <v>993</v>
      </c>
      <c r="AA104" s="1634">
        <v>250</v>
      </c>
      <c r="AB104" s="1200">
        <f>V104/250</f>
        <v>83.616</v>
      </c>
      <c r="AC104" s="1200">
        <f t="shared" si="48"/>
        <v>73.885305292922155</v>
      </c>
      <c r="AD104" s="1200">
        <f t="shared" si="49"/>
        <v>20904</v>
      </c>
      <c r="AE104" s="1257">
        <f t="shared" si="50"/>
        <v>18471.32632323054</v>
      </c>
    </row>
    <row r="105" spans="1:31" ht="81" x14ac:dyDescent="0.3">
      <c r="A105" s="57"/>
      <c r="B105" s="63"/>
      <c r="C105" s="302" t="s">
        <v>1027</v>
      </c>
      <c r="D105" s="1114" t="s">
        <v>593</v>
      </c>
      <c r="E105" s="1203">
        <f>2400</f>
        <v>2400</v>
      </c>
      <c r="F105" s="1204">
        <f>2400</f>
        <v>2400</v>
      </c>
      <c r="G105" s="1204">
        <f>2400</f>
        <v>2400</v>
      </c>
      <c r="H105" s="1205">
        <f t="shared" si="51"/>
        <v>7200</v>
      </c>
      <c r="I105" s="1201" t="s">
        <v>96</v>
      </c>
      <c r="J105" s="1200"/>
      <c r="K105" s="1634">
        <v>3</v>
      </c>
      <c r="L105" s="1200">
        <f>H105/3</f>
        <v>2400</v>
      </c>
      <c r="M105" s="1200">
        <f t="shared" si="40"/>
        <v>2120.7033666165948</v>
      </c>
      <c r="N105" s="1200">
        <f t="shared" si="41"/>
        <v>7200</v>
      </c>
      <c r="O105" s="1463">
        <f t="shared" si="42"/>
        <v>6362.1100998497841</v>
      </c>
      <c r="P105" s="1488"/>
      <c r="Q105" s="1489">
        <f>10540</f>
        <v>10540</v>
      </c>
      <c r="R105" s="1489">
        <v>10200</v>
      </c>
      <c r="S105" s="1489"/>
      <c r="T105" s="1487">
        <f t="shared" si="43"/>
        <v>20740</v>
      </c>
      <c r="U105" s="1490" t="s">
        <v>766</v>
      </c>
      <c r="V105" s="1407">
        <f t="shared" si="44"/>
        <v>20740</v>
      </c>
      <c r="W105" s="1451">
        <f t="shared" si="45"/>
        <v>18326.411593178404</v>
      </c>
      <c r="X105" s="1407">
        <f t="shared" si="46"/>
        <v>13540</v>
      </c>
      <c r="Y105" s="1408">
        <f t="shared" si="47"/>
        <v>11964.301493328619</v>
      </c>
      <c r="Z105" s="1386" t="s">
        <v>992</v>
      </c>
      <c r="AA105" s="1634">
        <v>19</v>
      </c>
      <c r="AB105" s="1200">
        <f>V105/19</f>
        <v>1091.578947368421</v>
      </c>
      <c r="AC105" s="1200">
        <f t="shared" si="48"/>
        <v>964.54797858833706</v>
      </c>
      <c r="AD105" s="1200">
        <f t="shared" si="49"/>
        <v>20740</v>
      </c>
      <c r="AE105" s="1257">
        <f t="shared" si="50"/>
        <v>18326.411593178404</v>
      </c>
    </row>
    <row r="106" spans="1:31" ht="40.5" x14ac:dyDescent="0.3">
      <c r="A106" s="224"/>
      <c r="B106" s="204"/>
      <c r="C106" s="446" t="s">
        <v>660</v>
      </c>
      <c r="D106" s="1110" t="s">
        <v>656</v>
      </c>
      <c r="E106" s="1203"/>
      <c r="F106" s="1204"/>
      <c r="G106" s="1204"/>
      <c r="H106" s="1205">
        <f t="shared" si="51"/>
        <v>0</v>
      </c>
      <c r="I106" s="1206"/>
      <c r="J106" s="1200"/>
      <c r="K106" s="1634">
        <v>0</v>
      </c>
      <c r="L106" s="1200">
        <f t="shared" si="52"/>
        <v>0</v>
      </c>
      <c r="M106" s="1200">
        <f t="shared" si="40"/>
        <v>0</v>
      </c>
      <c r="N106" s="1200">
        <f t="shared" si="41"/>
        <v>0</v>
      </c>
      <c r="O106" s="1463">
        <f t="shared" si="42"/>
        <v>0</v>
      </c>
      <c r="P106" s="1488"/>
      <c r="Q106" s="1489"/>
      <c r="R106" s="1489"/>
      <c r="S106" s="1489"/>
      <c r="T106" s="1487">
        <f t="shared" si="43"/>
        <v>0</v>
      </c>
      <c r="U106" s="1490" t="s">
        <v>917</v>
      </c>
      <c r="V106" s="1407">
        <f t="shared" si="44"/>
        <v>0</v>
      </c>
      <c r="W106" s="1451">
        <f t="shared" si="45"/>
        <v>0</v>
      </c>
      <c r="X106" s="1407">
        <f t="shared" si="46"/>
        <v>0</v>
      </c>
      <c r="Y106" s="1408">
        <f t="shared" si="47"/>
        <v>0</v>
      </c>
      <c r="Z106" s="1386"/>
      <c r="AA106" s="1634">
        <v>0</v>
      </c>
      <c r="AB106" s="1200">
        <f>V106/2</f>
        <v>0</v>
      </c>
      <c r="AC106" s="1200">
        <f t="shared" ref="AC106:AC110" si="53">AB106/1.1317</f>
        <v>0</v>
      </c>
      <c r="AD106" s="1200">
        <f t="shared" ref="AD106:AD110" si="54">AA106*AB106</f>
        <v>0</v>
      </c>
      <c r="AE106" s="1257">
        <f t="shared" si="50"/>
        <v>0</v>
      </c>
    </row>
    <row r="107" spans="1:31" ht="40.5" x14ac:dyDescent="0.3">
      <c r="A107" s="224"/>
      <c r="B107" s="204"/>
      <c r="C107" s="302" t="s">
        <v>663</v>
      </c>
      <c r="D107" s="1110" t="s">
        <v>658</v>
      </c>
      <c r="E107" s="1203"/>
      <c r="F107" s="1204"/>
      <c r="G107" s="1204"/>
      <c r="H107" s="1205">
        <f t="shared" si="51"/>
        <v>0</v>
      </c>
      <c r="I107" s="1206"/>
      <c r="J107" s="1200"/>
      <c r="K107" s="1634">
        <v>0</v>
      </c>
      <c r="L107" s="1200">
        <f t="shared" si="52"/>
        <v>0</v>
      </c>
      <c r="M107" s="1200">
        <f t="shared" si="40"/>
        <v>0</v>
      </c>
      <c r="N107" s="1200">
        <f t="shared" si="41"/>
        <v>0</v>
      </c>
      <c r="O107" s="1463">
        <f t="shared" si="42"/>
        <v>0</v>
      </c>
      <c r="P107" s="1488"/>
      <c r="Q107" s="1489"/>
      <c r="R107" s="1489"/>
      <c r="S107" s="1489">
        <v>5000</v>
      </c>
      <c r="T107" s="1487">
        <f t="shared" si="43"/>
        <v>5000</v>
      </c>
      <c r="U107" s="1490" t="s">
        <v>659</v>
      </c>
      <c r="V107" s="1407">
        <f t="shared" si="44"/>
        <v>5000</v>
      </c>
      <c r="W107" s="1451">
        <f t="shared" si="45"/>
        <v>4418.1320137845723</v>
      </c>
      <c r="X107" s="1407">
        <f t="shared" si="46"/>
        <v>5000</v>
      </c>
      <c r="Y107" s="1408">
        <f t="shared" si="47"/>
        <v>4418.1320137845723</v>
      </c>
      <c r="Z107" s="1386" t="s">
        <v>1037</v>
      </c>
      <c r="AA107" s="1634">
        <v>10</v>
      </c>
      <c r="AB107" s="1200">
        <f>V107/10</f>
        <v>500</v>
      </c>
      <c r="AC107" s="1200">
        <f t="shared" si="53"/>
        <v>441.81320137845722</v>
      </c>
      <c r="AD107" s="1200">
        <f t="shared" si="54"/>
        <v>5000</v>
      </c>
      <c r="AE107" s="1257">
        <f t="shared" si="50"/>
        <v>4418.1320137845723</v>
      </c>
    </row>
    <row r="108" spans="1:31" ht="81" x14ac:dyDescent="0.3">
      <c r="A108" s="224"/>
      <c r="B108" s="204"/>
      <c r="C108" s="446" t="s">
        <v>666</v>
      </c>
      <c r="D108" s="1110" t="s">
        <v>661</v>
      </c>
      <c r="E108" s="1203"/>
      <c r="F108" s="1204"/>
      <c r="G108" s="1204"/>
      <c r="H108" s="1205">
        <f t="shared" si="51"/>
        <v>0</v>
      </c>
      <c r="I108" s="1206"/>
      <c r="J108" s="1200"/>
      <c r="K108" s="1634">
        <v>0</v>
      </c>
      <c r="L108" s="1200">
        <f t="shared" si="52"/>
        <v>0</v>
      </c>
      <c r="M108" s="1200">
        <f t="shared" si="40"/>
        <v>0</v>
      </c>
      <c r="N108" s="1200">
        <f t="shared" si="41"/>
        <v>0</v>
      </c>
      <c r="O108" s="1463">
        <f t="shared" si="42"/>
        <v>0</v>
      </c>
      <c r="P108" s="1488"/>
      <c r="Q108" s="1489"/>
      <c r="R108" s="1489"/>
      <c r="S108" s="1489">
        <v>4000</v>
      </c>
      <c r="T108" s="1487">
        <f t="shared" si="43"/>
        <v>4000</v>
      </c>
      <c r="U108" s="1490" t="s">
        <v>662</v>
      </c>
      <c r="V108" s="1407">
        <f t="shared" si="44"/>
        <v>4000</v>
      </c>
      <c r="W108" s="1451">
        <f t="shared" si="45"/>
        <v>3534.5056110276578</v>
      </c>
      <c r="X108" s="1407">
        <f t="shared" si="46"/>
        <v>4000</v>
      </c>
      <c r="Y108" s="1408">
        <f t="shared" si="47"/>
        <v>3534.5056110276578</v>
      </c>
      <c r="Z108" s="1386" t="s">
        <v>1038</v>
      </c>
      <c r="AA108" s="1634">
        <v>400</v>
      </c>
      <c r="AB108" s="1200">
        <f>V108/400</f>
        <v>10</v>
      </c>
      <c r="AC108" s="1200">
        <f t="shared" si="53"/>
        <v>8.8362640275691451</v>
      </c>
      <c r="AD108" s="1200">
        <f t="shared" si="54"/>
        <v>4000</v>
      </c>
      <c r="AE108" s="1257">
        <f t="shared" si="50"/>
        <v>3534.5056110276578</v>
      </c>
    </row>
    <row r="109" spans="1:31" ht="40.5" x14ac:dyDescent="0.3">
      <c r="A109" s="224"/>
      <c r="B109" s="204"/>
      <c r="C109" s="302" t="s">
        <v>1028</v>
      </c>
      <c r="D109" s="1110" t="s">
        <v>664</v>
      </c>
      <c r="E109" s="1203"/>
      <c r="F109" s="1204"/>
      <c r="G109" s="1204"/>
      <c r="H109" s="1205">
        <f t="shared" si="51"/>
        <v>0</v>
      </c>
      <c r="I109" s="1206"/>
      <c r="J109" s="1200"/>
      <c r="K109" s="1634">
        <v>0</v>
      </c>
      <c r="L109" s="1200">
        <f t="shared" si="52"/>
        <v>0</v>
      </c>
      <c r="M109" s="1200">
        <f t="shared" si="40"/>
        <v>0</v>
      </c>
      <c r="N109" s="1200">
        <f t="shared" si="41"/>
        <v>0</v>
      </c>
      <c r="O109" s="1463">
        <f t="shared" si="42"/>
        <v>0</v>
      </c>
      <c r="P109" s="1488"/>
      <c r="Q109" s="1489"/>
      <c r="R109" s="1489"/>
      <c r="S109" s="1489"/>
      <c r="T109" s="1487">
        <f t="shared" si="43"/>
        <v>0</v>
      </c>
      <c r="U109" s="1490" t="s">
        <v>665</v>
      </c>
      <c r="V109" s="1407">
        <f t="shared" si="44"/>
        <v>0</v>
      </c>
      <c r="W109" s="1451">
        <f t="shared" si="45"/>
        <v>0</v>
      </c>
      <c r="X109" s="1407">
        <f t="shared" si="46"/>
        <v>0</v>
      </c>
      <c r="Y109" s="1408">
        <f t="shared" si="47"/>
        <v>0</v>
      </c>
      <c r="Z109" s="1386"/>
      <c r="AA109" s="1634">
        <v>0</v>
      </c>
      <c r="AB109" s="1200">
        <v>0</v>
      </c>
      <c r="AC109" s="1200">
        <f t="shared" si="53"/>
        <v>0</v>
      </c>
      <c r="AD109" s="1200">
        <f t="shared" si="54"/>
        <v>0</v>
      </c>
      <c r="AE109" s="1257">
        <f t="shared" si="50"/>
        <v>0</v>
      </c>
    </row>
    <row r="110" spans="1:31" ht="20.25" x14ac:dyDescent="0.3">
      <c r="A110" s="224"/>
      <c r="B110" s="204"/>
      <c r="C110" s="446" t="s">
        <v>1131</v>
      </c>
      <c r="D110" s="1110" t="s">
        <v>667</v>
      </c>
      <c r="E110" s="1203"/>
      <c r="F110" s="1204"/>
      <c r="G110" s="1204"/>
      <c r="H110" s="1205">
        <f t="shared" si="51"/>
        <v>0</v>
      </c>
      <c r="I110" s="1206"/>
      <c r="J110" s="1200"/>
      <c r="K110" s="1634">
        <v>0</v>
      </c>
      <c r="L110" s="1200">
        <f t="shared" si="52"/>
        <v>0</v>
      </c>
      <c r="M110" s="1200">
        <f t="shared" si="40"/>
        <v>0</v>
      </c>
      <c r="N110" s="1200">
        <f t="shared" si="41"/>
        <v>0</v>
      </c>
      <c r="O110" s="1463">
        <f t="shared" si="42"/>
        <v>0</v>
      </c>
      <c r="P110" s="1488"/>
      <c r="Q110" s="1489"/>
      <c r="R110" s="1489"/>
      <c r="S110" s="1489"/>
      <c r="T110" s="1487">
        <f t="shared" si="43"/>
        <v>0</v>
      </c>
      <c r="U110" s="1490" t="s">
        <v>665</v>
      </c>
      <c r="V110" s="1407">
        <f t="shared" si="44"/>
        <v>0</v>
      </c>
      <c r="W110" s="1451">
        <f t="shared" si="45"/>
        <v>0</v>
      </c>
      <c r="X110" s="1407">
        <f t="shared" si="46"/>
        <v>0</v>
      </c>
      <c r="Y110" s="1408">
        <f t="shared" si="47"/>
        <v>0</v>
      </c>
      <c r="Z110" s="1386"/>
      <c r="AA110" s="1634">
        <v>0</v>
      </c>
      <c r="AB110" s="1200">
        <f t="shared" ref="AB110" si="55">V110/19</f>
        <v>0</v>
      </c>
      <c r="AC110" s="1200">
        <f t="shared" si="53"/>
        <v>0</v>
      </c>
      <c r="AD110" s="1200">
        <f t="shared" si="54"/>
        <v>0</v>
      </c>
      <c r="AE110" s="1257">
        <f t="shared" si="50"/>
        <v>0</v>
      </c>
    </row>
    <row r="111" spans="1:31" ht="34.5" customHeight="1" thickBot="1" x14ac:dyDescent="0.35">
      <c r="A111" s="224"/>
      <c r="B111" s="204"/>
      <c r="C111" s="447"/>
      <c r="D111" s="1098"/>
      <c r="E111" s="1207"/>
      <c r="F111" s="1208"/>
      <c r="G111" s="1208"/>
      <c r="H111" s="1209"/>
      <c r="I111" s="1210"/>
      <c r="J111" s="1211"/>
      <c r="K111" s="1635"/>
      <c r="L111" s="1211"/>
      <c r="M111" s="1211"/>
      <c r="N111" s="1211"/>
      <c r="O111" s="1470"/>
      <c r="P111" s="1513"/>
      <c r="Q111" s="1504"/>
      <c r="R111" s="1504"/>
      <c r="S111" s="1504"/>
      <c r="T111" s="1504"/>
      <c r="U111" s="2492"/>
      <c r="V111" s="2493"/>
      <c r="W111" s="2494"/>
      <c r="X111" s="2493"/>
      <c r="Y111" s="2494"/>
      <c r="Z111" s="2495"/>
      <c r="AA111" s="2496"/>
      <c r="AB111" s="2497"/>
      <c r="AC111" s="2497"/>
      <c r="AD111" s="2497"/>
      <c r="AE111" s="2497"/>
    </row>
    <row r="112" spans="1:31" ht="30.75" customHeight="1" thickBot="1" x14ac:dyDescent="0.35">
      <c r="A112" s="65"/>
      <c r="B112" s="147" t="s">
        <v>45</v>
      </c>
      <c r="C112" s="148"/>
      <c r="D112" s="1118"/>
      <c r="E112" s="1173">
        <f>SUM(E96:E110)</f>
        <v>148720</v>
      </c>
      <c r="F112" s="1174">
        <f t="shared" ref="F112:N112" si="56">SUM(F96:F110)</f>
        <v>59062.5</v>
      </c>
      <c r="G112" s="1174">
        <f t="shared" si="56"/>
        <v>4800</v>
      </c>
      <c r="H112" s="1175">
        <f t="shared" si="56"/>
        <v>212582.5</v>
      </c>
      <c r="I112" s="1175"/>
      <c r="J112" s="1175"/>
      <c r="K112" s="1636"/>
      <c r="L112" s="1175"/>
      <c r="M112" s="1175">
        <v>0</v>
      </c>
      <c r="N112" s="1175">
        <f t="shared" si="56"/>
        <v>212582.5</v>
      </c>
      <c r="O112" s="1471">
        <f>SUM(O96:O110)+0.49</f>
        <v>187843.99976407175</v>
      </c>
      <c r="P112" s="1514">
        <f>SUM(P95:P111)</f>
        <v>134731</v>
      </c>
      <c r="Q112" s="1515">
        <f>SUM(Q95:Q111)</f>
        <v>225891</v>
      </c>
      <c r="R112" s="1515">
        <f>SUM(R95:R111)</f>
        <v>120172</v>
      </c>
      <c r="S112" s="1515">
        <f>SUM(S95:S111)</f>
        <v>85200</v>
      </c>
      <c r="T112" s="1515">
        <f>SUM(T95:T111)</f>
        <v>565994</v>
      </c>
      <c r="U112" s="2498">
        <f>SUM(U95:U105)</f>
        <v>0</v>
      </c>
      <c r="V112" s="2499">
        <f>SUM(V95:V111)</f>
        <v>565994</v>
      </c>
      <c r="W112" s="2498">
        <f>SUM(W95:W111)</f>
        <v>500127.24220199697</v>
      </c>
      <c r="X112" s="2499">
        <f>SUM(X95:X111)</f>
        <v>353411.5</v>
      </c>
      <c r="Y112" s="2498">
        <f>SUM(Y95:Y111)</f>
        <v>312283.7324379253</v>
      </c>
      <c r="Z112" s="2500"/>
      <c r="AA112" s="2501"/>
      <c r="AB112" s="2502"/>
      <c r="AC112" s="2502">
        <f>SUM(AC95:AC111)</f>
        <v>42224.167468403102</v>
      </c>
      <c r="AD112" s="2502">
        <f>SUM(AD95:AD111)</f>
        <v>565994</v>
      </c>
      <c r="AE112" s="2502">
        <f>SUM(AE95:AE111)</f>
        <v>500127.24220199697</v>
      </c>
    </row>
    <row r="113" spans="1:31" ht="63.75" customHeight="1" x14ac:dyDescent="0.3">
      <c r="A113" s="70">
        <v>2.2000000000000002</v>
      </c>
      <c r="B113" s="2658" t="s">
        <v>97</v>
      </c>
      <c r="C113" s="2730"/>
      <c r="D113" s="2705"/>
      <c r="E113" s="1182"/>
      <c r="F113" s="1183"/>
      <c r="G113" s="1183"/>
      <c r="H113" s="1184"/>
      <c r="I113" s="1143"/>
      <c r="J113" s="1217"/>
      <c r="K113" s="1637"/>
      <c r="L113" s="1217"/>
      <c r="M113" s="1217"/>
      <c r="N113" s="1217"/>
      <c r="O113" s="1467"/>
      <c r="P113" s="1484"/>
      <c r="Q113" s="1485"/>
      <c r="R113" s="1485"/>
      <c r="S113" s="1485"/>
      <c r="T113" s="1485"/>
      <c r="U113" s="2379"/>
      <c r="V113" s="2377"/>
      <c r="W113" s="2346"/>
      <c r="X113" s="2377"/>
      <c r="Y113" s="2379"/>
      <c r="Z113" s="2347"/>
      <c r="AA113" s="2341"/>
      <c r="AB113" s="2340"/>
      <c r="AC113" s="2340"/>
      <c r="AD113" s="2340"/>
      <c r="AE113" s="2340"/>
    </row>
    <row r="114" spans="1:31" ht="60.75" x14ac:dyDescent="0.3">
      <c r="A114" s="57"/>
      <c r="B114" s="172"/>
      <c r="C114" s="308" t="s">
        <v>98</v>
      </c>
      <c r="D114" s="1117" t="s">
        <v>99</v>
      </c>
      <c r="E114" s="1219">
        <f>2856</f>
        <v>2856</v>
      </c>
      <c r="F114" s="1220">
        <f>2856</f>
        <v>2856</v>
      </c>
      <c r="G114" s="1220">
        <f>2856</f>
        <v>2856</v>
      </c>
      <c r="H114" s="1221">
        <f t="shared" ref="H114:H120" si="57">SUM(E114:G114)</f>
        <v>8568</v>
      </c>
      <c r="I114" s="1222" t="s">
        <v>100</v>
      </c>
      <c r="J114" s="1218" t="s">
        <v>998</v>
      </c>
      <c r="K114" s="1638">
        <v>6</v>
      </c>
      <c r="L114" s="1218">
        <f>H114/6</f>
        <v>1428</v>
      </c>
      <c r="M114" s="1218">
        <f>L114/1.1317</f>
        <v>1261.8185031368739</v>
      </c>
      <c r="N114" s="1218">
        <f>K114*L114</f>
        <v>8568</v>
      </c>
      <c r="O114" s="1463">
        <f t="shared" ref="O114:O120" si="58">N114/1.1317</f>
        <v>7570.9110188212426</v>
      </c>
      <c r="P114" s="1488"/>
      <c r="Q114" s="1489"/>
      <c r="R114" s="1489">
        <f>2900</f>
        <v>2900</v>
      </c>
      <c r="S114" s="1489"/>
      <c r="T114" s="1487">
        <f t="shared" ref="T114:T118" si="59">SUM(P114:S114)</f>
        <v>2900</v>
      </c>
      <c r="U114" s="1491" t="s">
        <v>1047</v>
      </c>
      <c r="V114" s="1407">
        <f t="shared" ref="V114:V121" si="60">P114+Q114+R114+S114</f>
        <v>2900</v>
      </c>
      <c r="W114" s="1451">
        <f t="shared" ref="W114:W121" si="61">V114/1.1317</f>
        <v>2562.5165679950519</v>
      </c>
      <c r="X114" s="1407">
        <f t="shared" ref="X114:Y121" si="62">V114-N114</f>
        <v>-5668</v>
      </c>
      <c r="Y114" s="1408">
        <f t="shared" si="62"/>
        <v>-5008.3944508261902</v>
      </c>
      <c r="Z114" s="1391" t="s">
        <v>998</v>
      </c>
      <c r="AA114" s="1638">
        <v>2</v>
      </c>
      <c r="AB114" s="1218">
        <f>V114/2</f>
        <v>1450</v>
      </c>
      <c r="AC114" s="1218">
        <f>AB114/1.1317</f>
        <v>1281.258283997526</v>
      </c>
      <c r="AD114" s="1218">
        <f>AA114*AB114</f>
        <v>2900</v>
      </c>
      <c r="AE114" s="1257">
        <f t="shared" ref="AE114:AE121" si="63">AD114/1.1317</f>
        <v>2562.5165679950519</v>
      </c>
    </row>
    <row r="115" spans="1:31" ht="101.25" x14ac:dyDescent="0.3">
      <c r="A115" s="57"/>
      <c r="B115" s="133"/>
      <c r="C115" s="309" t="s">
        <v>101</v>
      </c>
      <c r="D115" s="1095" t="s">
        <v>547</v>
      </c>
      <c r="E115" s="1219">
        <f>50660</f>
        <v>50660</v>
      </c>
      <c r="F115" s="1220">
        <f>27940</f>
        <v>27940</v>
      </c>
      <c r="G115" s="1220"/>
      <c r="H115" s="1221">
        <f t="shared" si="57"/>
        <v>78600</v>
      </c>
      <c r="I115" s="1222" t="s">
        <v>999</v>
      </c>
      <c r="J115" s="1218" t="s">
        <v>993</v>
      </c>
      <c r="K115" s="1638">
        <v>120</v>
      </c>
      <c r="L115" s="1218">
        <f>H115/120</f>
        <v>655</v>
      </c>
      <c r="M115" s="1218">
        <f t="shared" ref="M115:M120" si="64">L115/1.1317</f>
        <v>578.77529380577892</v>
      </c>
      <c r="N115" s="1218">
        <f t="shared" ref="N115:N120" si="65">K115*L115</f>
        <v>78600</v>
      </c>
      <c r="O115" s="1463">
        <f t="shared" si="58"/>
        <v>69453.035256693474</v>
      </c>
      <c r="P115" s="1488">
        <v>35700</v>
      </c>
      <c r="Q115" s="1489">
        <v>7400</v>
      </c>
      <c r="R115" s="1489">
        <v>6450</v>
      </c>
      <c r="S115" s="1489"/>
      <c r="T115" s="1487">
        <f t="shared" si="59"/>
        <v>49550</v>
      </c>
      <c r="U115" s="1491" t="s">
        <v>1048</v>
      </c>
      <c r="V115" s="1407">
        <f t="shared" si="60"/>
        <v>49550</v>
      </c>
      <c r="W115" s="1451">
        <f t="shared" si="61"/>
        <v>43783.688256605114</v>
      </c>
      <c r="X115" s="1407">
        <f t="shared" si="62"/>
        <v>-29050</v>
      </c>
      <c r="Y115" s="1408">
        <f t="shared" si="62"/>
        <v>-25669.347000088361</v>
      </c>
      <c r="Z115" s="1391" t="s">
        <v>993</v>
      </c>
      <c r="AA115" s="1638">
        <v>120</v>
      </c>
      <c r="AB115" s="1218">
        <f>V115/120</f>
        <v>412.91666666666669</v>
      </c>
      <c r="AC115" s="1218">
        <f>AB115/1.1317</f>
        <v>364.86406880504262</v>
      </c>
      <c r="AD115" s="1218">
        <f>AA115*AB115</f>
        <v>49550</v>
      </c>
      <c r="AE115" s="1257">
        <f t="shared" si="63"/>
        <v>43783.688256605114</v>
      </c>
    </row>
    <row r="116" spans="1:31" ht="141.75" x14ac:dyDescent="0.3">
      <c r="A116" s="74"/>
      <c r="B116" s="133"/>
      <c r="C116" s="309" t="s">
        <v>102</v>
      </c>
      <c r="D116" s="1095" t="s">
        <v>467</v>
      </c>
      <c r="E116" s="1219"/>
      <c r="F116" s="1220"/>
      <c r="G116" s="1220"/>
      <c r="H116" s="1221"/>
      <c r="I116" s="1222"/>
      <c r="J116" s="1218"/>
      <c r="K116" s="1638">
        <v>0</v>
      </c>
      <c r="L116" s="1218">
        <f t="shared" ref="L116:L120" si="66">H116/15</f>
        <v>0</v>
      </c>
      <c r="M116" s="1218">
        <f t="shared" si="64"/>
        <v>0</v>
      </c>
      <c r="N116" s="1218">
        <f t="shared" si="65"/>
        <v>0</v>
      </c>
      <c r="O116" s="1463">
        <f t="shared" si="58"/>
        <v>0</v>
      </c>
      <c r="P116" s="1516">
        <v>126720</v>
      </c>
      <c r="Q116" s="1517">
        <v>46500</v>
      </c>
      <c r="R116" s="1489">
        <f>36200</f>
        <v>36200</v>
      </c>
      <c r="S116" s="1517"/>
      <c r="T116" s="1487">
        <f t="shared" si="59"/>
        <v>209420</v>
      </c>
      <c r="U116" s="1491" t="s">
        <v>918</v>
      </c>
      <c r="V116" s="1407">
        <f t="shared" si="60"/>
        <v>209420</v>
      </c>
      <c r="W116" s="1451">
        <f t="shared" si="61"/>
        <v>185049.04126535301</v>
      </c>
      <c r="X116" s="1407">
        <f t="shared" si="62"/>
        <v>209420</v>
      </c>
      <c r="Y116" s="1408">
        <f t="shared" si="62"/>
        <v>185049.04126535301</v>
      </c>
      <c r="Z116" s="1391" t="s">
        <v>1010</v>
      </c>
      <c r="AA116" s="1638">
        <v>10</v>
      </c>
      <c r="AB116" s="1218">
        <f>V116/10</f>
        <v>20942</v>
      </c>
      <c r="AC116" s="1218">
        <f>AB116/1.1317</f>
        <v>18504.904126535301</v>
      </c>
      <c r="AD116" s="1218">
        <f>AA116*AB116</f>
        <v>209420</v>
      </c>
      <c r="AE116" s="1257">
        <f t="shared" si="63"/>
        <v>185049.04126535301</v>
      </c>
    </row>
    <row r="117" spans="1:31" ht="60.75" x14ac:dyDescent="0.3">
      <c r="A117" s="74"/>
      <c r="B117" s="133"/>
      <c r="C117" s="309" t="s">
        <v>468</v>
      </c>
      <c r="D117" s="1095" t="s">
        <v>469</v>
      </c>
      <c r="E117" s="1219"/>
      <c r="F117" s="1220"/>
      <c r="G117" s="1220"/>
      <c r="H117" s="1221">
        <f t="shared" si="57"/>
        <v>0</v>
      </c>
      <c r="I117" s="1222"/>
      <c r="J117" s="1218"/>
      <c r="K117" s="1638">
        <v>0</v>
      </c>
      <c r="L117" s="1218">
        <f t="shared" si="66"/>
        <v>0</v>
      </c>
      <c r="M117" s="1218">
        <f t="shared" si="64"/>
        <v>0</v>
      </c>
      <c r="N117" s="1218">
        <f t="shared" si="65"/>
        <v>0</v>
      </c>
      <c r="O117" s="1463">
        <f t="shared" si="58"/>
        <v>0</v>
      </c>
      <c r="P117" s="1488"/>
      <c r="Q117" s="1489"/>
      <c r="R117" s="1489">
        <f>3400</f>
        <v>3400</v>
      </c>
      <c r="S117" s="1489"/>
      <c r="T117" s="1487">
        <f t="shared" si="59"/>
        <v>3400</v>
      </c>
      <c r="U117" s="1490" t="s">
        <v>728</v>
      </c>
      <c r="V117" s="1407">
        <f t="shared" si="60"/>
        <v>3400</v>
      </c>
      <c r="W117" s="1451">
        <f t="shared" si="61"/>
        <v>3004.329769373509</v>
      </c>
      <c r="X117" s="1407">
        <f t="shared" si="62"/>
        <v>3400</v>
      </c>
      <c r="Y117" s="1408">
        <f t="shared" si="62"/>
        <v>3004.329769373509</v>
      </c>
      <c r="Z117" s="1391" t="s">
        <v>993</v>
      </c>
      <c r="AA117" s="1638">
        <v>100</v>
      </c>
      <c r="AB117" s="1218">
        <f>V117/100</f>
        <v>34</v>
      </c>
      <c r="AC117" s="1218">
        <f>AB117/1.1317</f>
        <v>30.043297693735092</v>
      </c>
      <c r="AD117" s="1218">
        <f>AA117*AB117</f>
        <v>3400</v>
      </c>
      <c r="AE117" s="1257">
        <f t="shared" si="63"/>
        <v>3004.329769373509</v>
      </c>
    </row>
    <row r="118" spans="1:31" ht="60.75" x14ac:dyDescent="0.3">
      <c r="A118" s="57"/>
      <c r="B118" s="133"/>
      <c r="C118" s="309" t="s">
        <v>470</v>
      </c>
      <c r="D118" s="1095" t="s">
        <v>595</v>
      </c>
      <c r="E118" s="1219"/>
      <c r="F118" s="1220">
        <f>42250</f>
        <v>42250</v>
      </c>
      <c r="G118" s="1220">
        <f>42250</f>
        <v>42250</v>
      </c>
      <c r="H118" s="1221">
        <f t="shared" ref="H118" si="67">SUM(E118:G118)</f>
        <v>84500</v>
      </c>
      <c r="I118" s="1222" t="s">
        <v>988</v>
      </c>
      <c r="J118" s="1218"/>
      <c r="K118" s="1638">
        <v>26</v>
      </c>
      <c r="L118" s="1218">
        <f>H118/26</f>
        <v>3250</v>
      </c>
      <c r="M118" s="1218">
        <f t="shared" si="64"/>
        <v>2871.7858089599717</v>
      </c>
      <c r="N118" s="1218">
        <f t="shared" si="65"/>
        <v>84500</v>
      </c>
      <c r="O118" s="1463">
        <f t="shared" si="58"/>
        <v>74666.43103295927</v>
      </c>
      <c r="P118" s="1488">
        <v>0</v>
      </c>
      <c r="Q118" s="1489">
        <v>47985</v>
      </c>
      <c r="R118" s="1489"/>
      <c r="S118" s="1489"/>
      <c r="T118" s="1487">
        <f t="shared" si="59"/>
        <v>47985</v>
      </c>
      <c r="U118" s="1490" t="s">
        <v>596</v>
      </c>
      <c r="V118" s="1407">
        <f t="shared" si="60"/>
        <v>47985</v>
      </c>
      <c r="W118" s="1451">
        <f t="shared" si="61"/>
        <v>42400.812936290538</v>
      </c>
      <c r="X118" s="1407">
        <f t="shared" si="62"/>
        <v>-36515</v>
      </c>
      <c r="Y118" s="1408">
        <f t="shared" si="62"/>
        <v>-32265.618096668732</v>
      </c>
      <c r="Z118" s="1391" t="s">
        <v>1015</v>
      </c>
      <c r="AA118" s="1638">
        <v>11</v>
      </c>
      <c r="AB118" s="1218">
        <f>V118/11</f>
        <v>4362.272727272727</v>
      </c>
      <c r="AC118" s="1218">
        <f>AB118/1.1317</f>
        <v>3854.6193578445941</v>
      </c>
      <c r="AD118" s="1218">
        <f>AA118*AB118</f>
        <v>47985</v>
      </c>
      <c r="AE118" s="1257">
        <f t="shared" si="63"/>
        <v>42400.812936290538</v>
      </c>
    </row>
    <row r="119" spans="1:31" ht="60.75" x14ac:dyDescent="0.3">
      <c r="A119" s="224"/>
      <c r="B119" s="133"/>
      <c r="C119" s="310" t="s">
        <v>919</v>
      </c>
      <c r="D119" s="1098" t="s">
        <v>668</v>
      </c>
      <c r="E119" s="1219"/>
      <c r="F119" s="1220"/>
      <c r="G119" s="1220"/>
      <c r="H119" s="1221">
        <f t="shared" si="57"/>
        <v>0</v>
      </c>
      <c r="I119" s="1222"/>
      <c r="J119" s="1218"/>
      <c r="K119" s="1638">
        <v>0</v>
      </c>
      <c r="L119" s="1218">
        <f t="shared" si="66"/>
        <v>0</v>
      </c>
      <c r="M119" s="1218">
        <f t="shared" si="64"/>
        <v>0</v>
      </c>
      <c r="N119" s="1218">
        <f t="shared" si="65"/>
        <v>0</v>
      </c>
      <c r="O119" s="1463">
        <f t="shared" si="58"/>
        <v>0</v>
      </c>
      <c r="P119" s="1488"/>
      <c r="Q119" s="1489"/>
      <c r="R119" s="1489">
        <f>1080</f>
        <v>1080</v>
      </c>
      <c r="S119" s="1489">
        <v>4200</v>
      </c>
      <c r="T119" s="1487">
        <f>SUM(P119:S119)</f>
        <v>5280</v>
      </c>
      <c r="U119" s="1490" t="s">
        <v>893</v>
      </c>
      <c r="V119" s="1407">
        <f t="shared" si="60"/>
        <v>5280</v>
      </c>
      <c r="W119" s="1451">
        <f t="shared" si="61"/>
        <v>4665.5474065565086</v>
      </c>
      <c r="X119" s="1407">
        <f t="shared" si="62"/>
        <v>5280</v>
      </c>
      <c r="Y119" s="1408">
        <f t="shared" si="62"/>
        <v>4665.5474065565086</v>
      </c>
      <c r="Z119" s="1391" t="s">
        <v>1039</v>
      </c>
      <c r="AA119" s="1638">
        <v>2</v>
      </c>
      <c r="AB119" s="1218">
        <f>V119/2</f>
        <v>2640</v>
      </c>
      <c r="AC119" s="1218">
        <f t="shared" ref="AC119:AC120" si="68">AB119/1.1317</f>
        <v>2332.7737032782543</v>
      </c>
      <c r="AD119" s="1218">
        <f t="shared" ref="AD119:AD120" si="69">AA119*AB119</f>
        <v>5280</v>
      </c>
      <c r="AE119" s="1257">
        <f t="shared" si="63"/>
        <v>4665.5474065565086</v>
      </c>
    </row>
    <row r="120" spans="1:31" ht="101.25" x14ac:dyDescent="0.3">
      <c r="A120" s="224"/>
      <c r="B120" s="133"/>
      <c r="C120" s="1003" t="s">
        <v>920</v>
      </c>
      <c r="D120" s="1110" t="s">
        <v>902</v>
      </c>
      <c r="E120" s="1219"/>
      <c r="F120" s="1220"/>
      <c r="G120" s="1220"/>
      <c r="H120" s="1221">
        <f t="shared" si="57"/>
        <v>0</v>
      </c>
      <c r="I120" s="1222"/>
      <c r="J120" s="1218"/>
      <c r="K120" s="1638">
        <v>0</v>
      </c>
      <c r="L120" s="1218">
        <f t="shared" si="66"/>
        <v>0</v>
      </c>
      <c r="M120" s="1218">
        <f t="shared" si="64"/>
        <v>0</v>
      </c>
      <c r="N120" s="1218">
        <f t="shared" si="65"/>
        <v>0</v>
      </c>
      <c r="O120" s="1463">
        <f t="shared" si="58"/>
        <v>0</v>
      </c>
      <c r="P120" s="1488"/>
      <c r="Q120" s="1489"/>
      <c r="R120" s="1489"/>
      <c r="S120" s="1489">
        <f>60400</f>
        <v>60400</v>
      </c>
      <c r="T120" s="1487">
        <f>SUM(P120:S120)</f>
        <v>60400</v>
      </c>
      <c r="U120" s="1490" t="s">
        <v>892</v>
      </c>
      <c r="V120" s="1407">
        <f t="shared" si="60"/>
        <v>60400</v>
      </c>
      <c r="W120" s="1451">
        <f t="shared" si="61"/>
        <v>53371.034726517631</v>
      </c>
      <c r="X120" s="1407">
        <f t="shared" si="62"/>
        <v>60400</v>
      </c>
      <c r="Y120" s="1408">
        <f t="shared" si="62"/>
        <v>53371.034726517631</v>
      </c>
      <c r="Z120" s="1391" t="s">
        <v>993</v>
      </c>
      <c r="AA120" s="1638">
        <v>370</v>
      </c>
      <c r="AB120" s="1218">
        <f>V120/370</f>
        <v>163.24324324324326</v>
      </c>
      <c r="AC120" s="1218">
        <f t="shared" si="68"/>
        <v>144.24603980139901</v>
      </c>
      <c r="AD120" s="1218">
        <f t="shared" si="69"/>
        <v>60400.000000000007</v>
      </c>
      <c r="AE120" s="1257">
        <f t="shared" si="63"/>
        <v>53371.034726517639</v>
      </c>
    </row>
    <row r="121" spans="1:31" ht="60.75" x14ac:dyDescent="0.3">
      <c r="A121" s="224"/>
      <c r="B121" s="133"/>
      <c r="C121" s="1359" t="s">
        <v>912</v>
      </c>
      <c r="D121" s="1360" t="s">
        <v>913</v>
      </c>
      <c r="E121" s="1369"/>
      <c r="F121" s="1370"/>
      <c r="G121" s="1370"/>
      <c r="H121" s="1371"/>
      <c r="I121" s="1222"/>
      <c r="J121" s="1372"/>
      <c r="K121" s="1639"/>
      <c r="L121" s="1372"/>
      <c r="M121" s="1372"/>
      <c r="N121" s="1372"/>
      <c r="O121" s="1472"/>
      <c r="P121" s="1513"/>
      <c r="Q121" s="1504"/>
      <c r="R121" s="1489">
        <v>3510</v>
      </c>
      <c r="S121" s="1504"/>
      <c r="T121" s="1487">
        <f>SUM(P121:S121)</f>
        <v>3510</v>
      </c>
      <c r="U121" s="1490" t="s">
        <v>1049</v>
      </c>
      <c r="V121" s="1407">
        <f t="shared" si="60"/>
        <v>3510</v>
      </c>
      <c r="W121" s="1451">
        <f t="shared" si="61"/>
        <v>3101.5286736767698</v>
      </c>
      <c r="X121" s="1407">
        <f t="shared" si="62"/>
        <v>3510</v>
      </c>
      <c r="Y121" s="1408">
        <f t="shared" si="62"/>
        <v>3101.5286736767698</v>
      </c>
      <c r="Z121" s="1391" t="s">
        <v>1097</v>
      </c>
      <c r="AA121" s="1638">
        <v>1</v>
      </c>
      <c r="AB121" s="1218">
        <f>V121</f>
        <v>3510</v>
      </c>
      <c r="AC121" s="1218">
        <f t="shared" ref="AC121" si="70">AB121/1.1317</f>
        <v>3101.5286736767698</v>
      </c>
      <c r="AD121" s="1218">
        <f t="shared" ref="AD121" si="71">AA121*AB121</f>
        <v>3510</v>
      </c>
      <c r="AE121" s="1257">
        <f t="shared" si="63"/>
        <v>3101.5286736767698</v>
      </c>
    </row>
    <row r="122" spans="1:31" ht="21" thickBot="1" x14ac:dyDescent="0.35">
      <c r="A122" s="57"/>
      <c r="B122" s="149"/>
      <c r="C122" s="758"/>
      <c r="D122" s="1119"/>
      <c r="E122" s="1223"/>
      <c r="F122" s="1224"/>
      <c r="G122" s="1224"/>
      <c r="H122" s="1225"/>
      <c r="I122" s="1226"/>
      <c r="J122" s="1226"/>
      <c r="K122" s="1640"/>
      <c r="L122" s="1226"/>
      <c r="M122" s="1226"/>
      <c r="N122" s="1226"/>
      <c r="O122" s="1464"/>
      <c r="P122" s="1423"/>
      <c r="Q122" s="1518"/>
      <c r="R122" s="1518"/>
      <c r="S122" s="1518"/>
      <c r="T122" s="1518"/>
      <c r="U122" s="1424"/>
      <c r="V122" s="1423"/>
      <c r="W122" s="1410"/>
      <c r="X122" s="1423"/>
      <c r="Y122" s="1424"/>
      <c r="Z122" s="1392"/>
      <c r="AA122" s="1640"/>
      <c r="AB122" s="1226"/>
      <c r="AC122" s="1226"/>
      <c r="AD122" s="1226"/>
      <c r="AE122" s="1226"/>
    </row>
    <row r="123" spans="1:31" ht="42" customHeight="1" thickBot="1" x14ac:dyDescent="0.35">
      <c r="A123" s="226"/>
      <c r="B123" s="227" t="s">
        <v>45</v>
      </c>
      <c r="C123" s="750"/>
      <c r="D123" s="1120"/>
      <c r="E123" s="1212">
        <f>SUM(E114:E120)</f>
        <v>53516</v>
      </c>
      <c r="F123" s="1213">
        <f t="shared" ref="F123:H123" si="72">SUM(F114:F120)</f>
        <v>73046</v>
      </c>
      <c r="G123" s="1213">
        <f t="shared" si="72"/>
        <v>45106</v>
      </c>
      <c r="H123" s="1214">
        <f t="shared" si="72"/>
        <v>171668</v>
      </c>
      <c r="I123" s="1215"/>
      <c r="J123" s="1215"/>
      <c r="K123" s="1641"/>
      <c r="L123" s="1215"/>
      <c r="M123" s="1215"/>
      <c r="N123" s="1215">
        <f t="shared" ref="N123" si="73">SUM(N114:N122)</f>
        <v>171668</v>
      </c>
      <c r="O123" s="1473">
        <f>SUM(O114:O122)-0.38</f>
        <v>151689.99730847398</v>
      </c>
      <c r="P123" s="1425">
        <f>SUM(P114:P122)</f>
        <v>162420</v>
      </c>
      <c r="Q123" s="1519">
        <f t="shared" ref="Q123:Y123" si="74">SUM(Q114:Q122)</f>
        <v>101885</v>
      </c>
      <c r="R123" s="1519">
        <f t="shared" si="74"/>
        <v>53540</v>
      </c>
      <c r="S123" s="1519">
        <f t="shared" si="74"/>
        <v>64600</v>
      </c>
      <c r="T123" s="1519">
        <f t="shared" si="74"/>
        <v>382445</v>
      </c>
      <c r="U123" s="1520">
        <f t="shared" si="74"/>
        <v>0</v>
      </c>
      <c r="V123" s="1425">
        <f t="shared" si="74"/>
        <v>382445</v>
      </c>
      <c r="W123" s="1216">
        <f t="shared" si="74"/>
        <v>337938.4996023681</v>
      </c>
      <c r="X123" s="1425">
        <f t="shared" si="74"/>
        <v>210777</v>
      </c>
      <c r="Y123" s="1216">
        <f t="shared" si="74"/>
        <v>186248.12229389415</v>
      </c>
      <c r="Z123" s="1299"/>
      <c r="AA123" s="1641"/>
      <c r="AB123" s="1215"/>
      <c r="AC123" s="1215"/>
      <c r="AD123" s="1215">
        <f t="shared" ref="AD123" si="75">SUM(AD114:AD122)</f>
        <v>382445</v>
      </c>
      <c r="AE123" s="1215">
        <f t="shared" ref="AE123" si="76">SUM(AE114:AE122)</f>
        <v>337938.4996023681</v>
      </c>
    </row>
    <row r="124" spans="1:31" ht="20.25" x14ac:dyDescent="0.3">
      <c r="A124" s="224"/>
      <c r="B124" s="142"/>
      <c r="C124" s="64"/>
      <c r="D124" s="1098"/>
      <c r="E124" s="1150"/>
      <c r="F124" s="1151"/>
      <c r="G124" s="1151"/>
      <c r="H124" s="1152"/>
      <c r="I124" s="1222"/>
      <c r="J124" s="759"/>
      <c r="K124" s="1642"/>
      <c r="L124" s="759"/>
      <c r="M124" s="759"/>
      <c r="N124" s="759"/>
      <c r="O124" s="1466"/>
      <c r="P124" s="1500"/>
      <c r="Q124" s="1304"/>
      <c r="R124" s="1304"/>
      <c r="S124" s="1304"/>
      <c r="T124" s="1304"/>
      <c r="U124" s="1414"/>
      <c r="V124" s="1413"/>
      <c r="W124" s="1442"/>
      <c r="X124" s="1413"/>
      <c r="Y124" s="1414"/>
      <c r="Z124" s="1384"/>
      <c r="AA124" s="1642"/>
      <c r="AB124" s="759"/>
      <c r="AC124" s="759"/>
      <c r="AD124" s="759"/>
      <c r="AE124" s="759"/>
    </row>
    <row r="125" spans="1:31" ht="96" customHeight="1" x14ac:dyDescent="0.3">
      <c r="A125" s="1092">
        <v>2.2999999999999998</v>
      </c>
      <c r="B125" s="1097" t="s">
        <v>103</v>
      </c>
      <c r="C125" s="1098"/>
      <c r="D125" s="982"/>
      <c r="E125" s="1203"/>
      <c r="F125" s="1220"/>
      <c r="G125" s="1220"/>
      <c r="H125" s="1221"/>
      <c r="I125" s="1222"/>
      <c r="J125" s="1217"/>
      <c r="K125" s="1637"/>
      <c r="L125" s="1217"/>
      <c r="M125" s="1217"/>
      <c r="N125" s="1217"/>
      <c r="O125" s="1467"/>
      <c r="P125" s="1521"/>
      <c r="Q125" s="1522"/>
      <c r="R125" s="1522"/>
      <c r="S125" s="1522"/>
      <c r="T125" s="1522"/>
      <c r="U125" s="1523"/>
      <c r="V125" s="1421"/>
      <c r="W125" s="1454"/>
      <c r="X125" s="1421"/>
      <c r="Y125" s="1422"/>
      <c r="Z125" s="1390"/>
      <c r="AA125" s="1637"/>
      <c r="AB125" s="1217"/>
      <c r="AC125" s="1217"/>
      <c r="AD125" s="1217"/>
      <c r="AE125" s="1217"/>
    </row>
    <row r="126" spans="1:31" ht="66" customHeight="1" x14ac:dyDescent="0.3">
      <c r="A126" s="305"/>
      <c r="B126" s="1096"/>
      <c r="C126" s="318" t="s">
        <v>104</v>
      </c>
      <c r="D126" s="1110" t="s">
        <v>105</v>
      </c>
      <c r="E126" s="1219">
        <f>4000</f>
        <v>4000</v>
      </c>
      <c r="F126" s="1220"/>
      <c r="G126" s="1220"/>
      <c r="H126" s="1221">
        <f t="shared" ref="H126:H128" si="77">SUM(E126:G126)</f>
        <v>4000</v>
      </c>
      <c r="I126" s="1222" t="s">
        <v>106</v>
      </c>
      <c r="J126" s="1218" t="s">
        <v>1000</v>
      </c>
      <c r="K126" s="1638">
        <v>10</v>
      </c>
      <c r="L126" s="1218">
        <f>H126/10</f>
        <v>400</v>
      </c>
      <c r="M126" s="1218">
        <f>L126/1.1317</f>
        <v>353.45056110276579</v>
      </c>
      <c r="N126" s="1218">
        <f>K126*L126</f>
        <v>4000</v>
      </c>
      <c r="O126" s="1463">
        <f t="shared" ref="O126:O128" si="78">N126/1.1317</f>
        <v>3534.5056110276578</v>
      </c>
      <c r="P126" s="1405"/>
      <c r="Q126" s="1487"/>
      <c r="R126" s="1487"/>
      <c r="S126" s="1487"/>
      <c r="T126" s="1487"/>
      <c r="U126" s="1450"/>
      <c r="V126" s="1405"/>
      <c r="W126" s="1451"/>
      <c r="X126" s="1405"/>
      <c r="Y126" s="1406"/>
      <c r="Z126" s="1391"/>
      <c r="AA126" s="1638"/>
      <c r="AB126" s="1218"/>
      <c r="AC126" s="1218"/>
      <c r="AD126" s="1218"/>
      <c r="AE126" s="1218"/>
    </row>
    <row r="127" spans="1:31" ht="94.5" customHeight="1" thickBot="1" x14ac:dyDescent="0.35">
      <c r="A127" s="71"/>
      <c r="B127" s="141"/>
      <c r="C127" s="318" t="s">
        <v>107</v>
      </c>
      <c r="D127" s="1110" t="s">
        <v>471</v>
      </c>
      <c r="E127" s="1219">
        <f>1200</f>
        <v>1200</v>
      </c>
      <c r="F127" s="1220"/>
      <c r="G127" s="1220"/>
      <c r="H127" s="1221">
        <f t="shared" si="77"/>
        <v>1200</v>
      </c>
      <c r="I127" s="1222" t="s">
        <v>109</v>
      </c>
      <c r="J127" s="1218" t="s">
        <v>993</v>
      </c>
      <c r="K127" s="1638">
        <v>30</v>
      </c>
      <c r="L127" s="1218">
        <f>H127/30</f>
        <v>40</v>
      </c>
      <c r="M127" s="1218">
        <f t="shared" ref="M127:M128" si="79">L127/1.1317</f>
        <v>35.34505611027658</v>
      </c>
      <c r="N127" s="1218">
        <f t="shared" ref="N127:N128" si="80">K127*L127</f>
        <v>1200</v>
      </c>
      <c r="O127" s="1463">
        <f t="shared" si="78"/>
        <v>1060.3516833082974</v>
      </c>
      <c r="P127" s="1488"/>
      <c r="Q127" s="1489"/>
      <c r="R127" s="1489">
        <f>5750</f>
        <v>5750</v>
      </c>
      <c r="S127" s="1489"/>
      <c r="T127" s="1487">
        <f t="shared" ref="T127" si="81">SUM(P127:S127)</f>
        <v>5750</v>
      </c>
      <c r="U127" s="1490" t="s">
        <v>1050</v>
      </c>
      <c r="V127" s="1407">
        <f>P127+Q127+R127+S127</f>
        <v>5750</v>
      </c>
      <c r="W127" s="1451">
        <f t="shared" ref="W127" si="82">V127/1.1317</f>
        <v>5080.8518158522584</v>
      </c>
      <c r="X127" s="1407">
        <f>V127-N127</f>
        <v>4550</v>
      </c>
      <c r="Y127" s="1408">
        <f>W127-O127</f>
        <v>4020.5001325439607</v>
      </c>
      <c r="Z127" s="1391" t="s">
        <v>993</v>
      </c>
      <c r="AA127" s="1638">
        <v>200</v>
      </c>
      <c r="AB127" s="1218">
        <f>V127/200</f>
        <v>28.75</v>
      </c>
      <c r="AC127" s="1218">
        <f>AB127/1.1317</f>
        <v>25.404259079261291</v>
      </c>
      <c r="AD127" s="1218">
        <f>AA127*AB127</f>
        <v>5750</v>
      </c>
      <c r="AE127" s="1257">
        <f t="shared" ref="AE127" si="83">AD127/1.1317</f>
        <v>5080.8518158522584</v>
      </c>
    </row>
    <row r="128" spans="1:31" ht="87" customHeight="1" x14ac:dyDescent="0.3">
      <c r="A128" s="224"/>
      <c r="B128" s="1092"/>
      <c r="C128" s="1099" t="s">
        <v>914</v>
      </c>
      <c r="D128" s="1101" t="s">
        <v>978</v>
      </c>
      <c r="E128" s="1227"/>
      <c r="F128" s="1228">
        <f>14000</f>
        <v>14000</v>
      </c>
      <c r="G128" s="1220"/>
      <c r="H128" s="1221">
        <f t="shared" si="77"/>
        <v>14000</v>
      </c>
      <c r="I128" s="1222" t="s">
        <v>110</v>
      </c>
      <c r="J128" s="1218" t="s">
        <v>993</v>
      </c>
      <c r="K128" s="1638">
        <v>350</v>
      </c>
      <c r="L128" s="1218">
        <f>H128/350</f>
        <v>40</v>
      </c>
      <c r="M128" s="1218">
        <f t="shared" si="79"/>
        <v>35.34505611027658</v>
      </c>
      <c r="N128" s="1218">
        <f t="shared" si="80"/>
        <v>14000</v>
      </c>
      <c r="O128" s="1463">
        <f t="shared" si="78"/>
        <v>12370.769638596803</v>
      </c>
      <c r="P128" s="1488"/>
      <c r="Q128" s="1489"/>
      <c r="R128" s="1489"/>
      <c r="S128" s="1489"/>
      <c r="T128" s="1487"/>
      <c r="U128" s="1490"/>
      <c r="V128" s="1407"/>
      <c r="W128" s="1451"/>
      <c r="X128" s="1407"/>
      <c r="Y128" s="1408"/>
      <c r="Z128" s="1391"/>
      <c r="AA128" s="1638"/>
      <c r="AB128" s="1218"/>
      <c r="AC128" s="1218"/>
      <c r="AD128" s="1218"/>
      <c r="AE128" s="1218"/>
    </row>
    <row r="129" spans="1:31" ht="21" thickBot="1" x14ac:dyDescent="0.35">
      <c r="A129" s="57"/>
      <c r="B129" s="150"/>
      <c r="C129" s="758"/>
      <c r="D129" s="1098"/>
      <c r="E129" s="1229"/>
      <c r="F129" s="1230"/>
      <c r="G129" s="1230"/>
      <c r="H129" s="1231"/>
      <c r="I129" s="1226"/>
      <c r="J129" s="1226"/>
      <c r="K129" s="1640"/>
      <c r="L129" s="1226"/>
      <c r="M129" s="1226"/>
      <c r="N129" s="1226"/>
      <c r="O129" s="1464"/>
      <c r="P129" s="1492"/>
      <c r="Q129" s="1493"/>
      <c r="R129" s="1493"/>
      <c r="S129" s="1493"/>
      <c r="T129" s="1493"/>
      <c r="U129" s="1494"/>
      <c r="V129" s="1409"/>
      <c r="W129" s="1410"/>
      <c r="X129" s="1409"/>
      <c r="Y129" s="1410"/>
      <c r="Z129" s="1392"/>
      <c r="AA129" s="1640"/>
      <c r="AB129" s="1226"/>
      <c r="AC129" s="1226"/>
      <c r="AD129" s="1226"/>
      <c r="AE129" s="1226"/>
    </row>
    <row r="130" spans="1:31" ht="31.5" customHeight="1" thickBot="1" x14ac:dyDescent="0.35">
      <c r="A130" s="72"/>
      <c r="B130" s="151" t="s">
        <v>45</v>
      </c>
      <c r="C130" s="753"/>
      <c r="D130" s="1121">
        <f>SUM(D129:D129)</f>
        <v>0</v>
      </c>
      <c r="E130" s="1176">
        <f>SUM(E126:E128)</f>
        <v>5200</v>
      </c>
      <c r="F130" s="1177">
        <f t="shared" ref="F130:H130" si="84">SUM(F126:F128)</f>
        <v>14000</v>
      </c>
      <c r="G130" s="1177">
        <f t="shared" si="84"/>
        <v>0</v>
      </c>
      <c r="H130" s="1178">
        <f t="shared" si="84"/>
        <v>19200</v>
      </c>
      <c r="I130" s="1146"/>
      <c r="J130" s="754"/>
      <c r="K130" s="1643"/>
      <c r="L130" s="754"/>
      <c r="M130" s="754"/>
      <c r="N130" s="754">
        <f t="shared" ref="N130" si="85">SUM(N126:N128)</f>
        <v>19200</v>
      </c>
      <c r="O130" s="1474">
        <f>SUM(O126:O128)+0.37</f>
        <v>16965.996932932758</v>
      </c>
      <c r="P130" s="1426">
        <f>SUM(P127:P129)</f>
        <v>0</v>
      </c>
      <c r="Q130" s="1525">
        <f t="shared" ref="Q130:T130" si="86">SUM(Q127:Q129)</f>
        <v>0</v>
      </c>
      <c r="R130" s="1525">
        <f t="shared" si="86"/>
        <v>5750</v>
      </c>
      <c r="S130" s="1525">
        <f t="shared" si="86"/>
        <v>0</v>
      </c>
      <c r="T130" s="1525">
        <f t="shared" si="86"/>
        <v>5750</v>
      </c>
      <c r="U130" s="1427">
        <f>SUM(U127:U129)</f>
        <v>0</v>
      </c>
      <c r="V130" s="1426">
        <f t="shared" ref="V130" si="87">SUM(V127:V129)</f>
        <v>5750</v>
      </c>
      <c r="W130" s="1427">
        <f t="shared" ref="W130" si="88">SUM(W127:W129)</f>
        <v>5080.8518158522584</v>
      </c>
      <c r="X130" s="1426">
        <f t="shared" ref="X130:Y130" si="89">SUM(X127:X129)</f>
        <v>4550</v>
      </c>
      <c r="Y130" s="1427">
        <f t="shared" si="89"/>
        <v>4020.5001325439607</v>
      </c>
      <c r="Z130" s="1300"/>
      <c r="AA130" s="1643">
        <f t="shared" ref="AA130" si="90">SUM(AA127:AA129)</f>
        <v>200</v>
      </c>
      <c r="AB130" s="754">
        <f t="shared" ref="AB130" si="91">SUM(AB127:AB129)</f>
        <v>28.75</v>
      </c>
      <c r="AC130" s="754">
        <f t="shared" ref="AC130" si="92">SUM(AC127:AC129)</f>
        <v>25.404259079261291</v>
      </c>
      <c r="AD130" s="754">
        <f t="shared" ref="AD130" si="93">SUM(AD127:AD129)</f>
        <v>5750</v>
      </c>
      <c r="AE130" s="754">
        <f t="shared" ref="AE130" si="94">SUM(AE127:AE129)</f>
        <v>5080.8518158522584</v>
      </c>
    </row>
    <row r="131" spans="1:31" ht="20.25" x14ac:dyDescent="0.3">
      <c r="A131" s="57"/>
      <c r="B131" s="144"/>
      <c r="C131" s="756"/>
      <c r="D131" s="1095"/>
      <c r="E131" s="1179"/>
      <c r="F131" s="1180"/>
      <c r="G131" s="1180"/>
      <c r="H131" s="1181"/>
      <c r="I131" s="1236"/>
      <c r="J131" s="759"/>
      <c r="K131" s="1642"/>
      <c r="L131" s="759"/>
      <c r="M131" s="759"/>
      <c r="N131" s="759"/>
      <c r="O131" s="1466"/>
      <c r="P131" s="1484"/>
      <c r="Q131" s="1485"/>
      <c r="R131" s="1485"/>
      <c r="S131" s="1485"/>
      <c r="T131" s="1485"/>
      <c r="U131" s="1414"/>
      <c r="V131" s="1413"/>
      <c r="W131" s="1442"/>
      <c r="X131" s="1413"/>
      <c r="Y131" s="1414"/>
      <c r="Z131" s="1384"/>
      <c r="AA131" s="1642"/>
      <c r="AB131" s="759"/>
      <c r="AC131" s="759"/>
      <c r="AD131" s="759"/>
      <c r="AE131" s="759"/>
    </row>
    <row r="132" spans="1:31" ht="73.5" customHeight="1" x14ac:dyDescent="0.3">
      <c r="A132" s="69">
        <v>2.4</v>
      </c>
      <c r="B132" s="2725" t="s">
        <v>111</v>
      </c>
      <c r="C132" s="2726"/>
      <c r="D132" s="2727"/>
      <c r="E132" s="1199"/>
      <c r="F132" s="1232"/>
      <c r="G132" s="1232"/>
      <c r="H132" s="1233"/>
      <c r="I132" s="1236"/>
      <c r="J132" s="1217"/>
      <c r="K132" s="1637"/>
      <c r="L132" s="1217"/>
      <c r="M132" s="1217"/>
      <c r="N132" s="1217"/>
      <c r="O132" s="1467"/>
      <c r="P132" s="1405"/>
      <c r="Q132" s="1487"/>
      <c r="R132" s="1487"/>
      <c r="S132" s="1487"/>
      <c r="T132" s="1487"/>
      <c r="U132" s="1422"/>
      <c r="V132" s="1421"/>
      <c r="W132" s="1454"/>
      <c r="X132" s="1421"/>
      <c r="Y132" s="1422"/>
      <c r="Z132" s="1390"/>
      <c r="AA132" s="1659"/>
      <c r="AB132" s="1234"/>
      <c r="AC132" s="1234"/>
      <c r="AD132" s="1234"/>
      <c r="AE132" s="1234"/>
    </row>
    <row r="133" spans="1:31" ht="101.25" x14ac:dyDescent="0.3">
      <c r="A133" s="57"/>
      <c r="B133" s="323"/>
      <c r="C133" s="324" t="s">
        <v>114</v>
      </c>
      <c r="D133" s="1110" t="s">
        <v>903</v>
      </c>
      <c r="E133" s="1241">
        <f>30000</f>
        <v>30000</v>
      </c>
      <c r="F133" s="1242">
        <f>25500</f>
        <v>25500</v>
      </c>
      <c r="G133" s="1242"/>
      <c r="H133" s="1243">
        <f t="shared" ref="H133:H160" si="95">SUM(E133:G133)</f>
        <v>55500</v>
      </c>
      <c r="I133" s="1236" t="s">
        <v>113</v>
      </c>
      <c r="J133" s="1235" t="s">
        <v>993</v>
      </c>
      <c r="K133" s="1644">
        <v>45</v>
      </c>
      <c r="L133" s="1235">
        <f>H133/45</f>
        <v>1233.3333333333333</v>
      </c>
      <c r="M133" s="1235">
        <f t="shared" ref="M133:M160" si="96">L133/1.1317</f>
        <v>1089.8058967335278</v>
      </c>
      <c r="N133" s="1235">
        <f t="shared" ref="N133:N160" si="97">K133*L133</f>
        <v>55500</v>
      </c>
      <c r="O133" s="1463">
        <f t="shared" ref="O133:O160" si="98">N133/1.1317</f>
        <v>49041.265353008748</v>
      </c>
      <c r="P133" s="1488">
        <f>35010</f>
        <v>35010</v>
      </c>
      <c r="Q133" s="1489">
        <v>48550</v>
      </c>
      <c r="R133" s="1489">
        <f>2580</f>
        <v>2580</v>
      </c>
      <c r="S133" s="1489"/>
      <c r="T133" s="1487">
        <f t="shared" ref="T133:T160" si="99">SUM(P133:S133)</f>
        <v>86140</v>
      </c>
      <c r="U133" s="1490" t="s">
        <v>1051</v>
      </c>
      <c r="V133" s="1407">
        <f t="shared" ref="V133:V144" si="100">P133+Q133+R133+S133</f>
        <v>86140</v>
      </c>
      <c r="W133" s="1451">
        <f t="shared" ref="W133:W160" si="101">V133/1.1317</f>
        <v>76115.578333480604</v>
      </c>
      <c r="X133" s="1407">
        <f t="shared" ref="X133:X160" si="102">V133-N133</f>
        <v>30640</v>
      </c>
      <c r="Y133" s="1408">
        <f t="shared" ref="Y133:Y160" si="103">W133-O133</f>
        <v>27074.312980471856</v>
      </c>
      <c r="Z133" s="1391" t="s">
        <v>993</v>
      </c>
      <c r="AA133" s="1644">
        <v>90</v>
      </c>
      <c r="AB133" s="1235">
        <f>V133/90</f>
        <v>957.11111111111109</v>
      </c>
      <c r="AC133" s="1235">
        <f t="shared" ref="AC133:AC160" si="104">AB133/1.1317</f>
        <v>845.72864814978448</v>
      </c>
      <c r="AD133" s="1235">
        <f t="shared" ref="AD133:AD199" si="105">AA133*AB133</f>
        <v>86140</v>
      </c>
      <c r="AE133" s="1257">
        <f t="shared" ref="AE133:AE160" si="106">AD133/1.1317</f>
        <v>76115.578333480604</v>
      </c>
    </row>
    <row r="134" spans="1:31" ht="60.75" x14ac:dyDescent="0.3">
      <c r="A134" s="74"/>
      <c r="B134" s="152"/>
      <c r="C134" s="324" t="s">
        <v>473</v>
      </c>
      <c r="D134" s="1110" t="s">
        <v>474</v>
      </c>
      <c r="E134" s="1241"/>
      <c r="F134" s="1242"/>
      <c r="G134" s="1242"/>
      <c r="H134" s="1243">
        <f t="shared" si="95"/>
        <v>0</v>
      </c>
      <c r="I134" s="1236"/>
      <c r="J134" s="1235"/>
      <c r="K134" s="1644">
        <v>0</v>
      </c>
      <c r="L134" s="1235">
        <f t="shared" ref="L134:L160" si="107">H134/30</f>
        <v>0</v>
      </c>
      <c r="M134" s="1235">
        <f t="shared" si="96"/>
        <v>0</v>
      </c>
      <c r="N134" s="1235">
        <f t="shared" si="97"/>
        <v>0</v>
      </c>
      <c r="O134" s="1463">
        <f t="shared" si="98"/>
        <v>0</v>
      </c>
      <c r="P134" s="1488"/>
      <c r="Q134" s="1489"/>
      <c r="R134" s="1489">
        <v>5400</v>
      </c>
      <c r="S134" s="1489"/>
      <c r="T134" s="1487">
        <f t="shared" si="99"/>
        <v>5400</v>
      </c>
      <c r="U134" s="1490" t="s">
        <v>475</v>
      </c>
      <c r="V134" s="1407">
        <f t="shared" si="100"/>
        <v>5400</v>
      </c>
      <c r="W134" s="1451">
        <f t="shared" si="101"/>
        <v>4771.5825748873376</v>
      </c>
      <c r="X134" s="1407">
        <f t="shared" si="102"/>
        <v>5400</v>
      </c>
      <c r="Y134" s="1408">
        <f t="shared" si="103"/>
        <v>4771.5825748873376</v>
      </c>
      <c r="Z134" s="1391" t="s">
        <v>1009</v>
      </c>
      <c r="AA134" s="1644">
        <v>45</v>
      </c>
      <c r="AB134" s="1235">
        <f>V134/45</f>
        <v>120</v>
      </c>
      <c r="AC134" s="1235">
        <f t="shared" si="104"/>
        <v>106.03516833082973</v>
      </c>
      <c r="AD134" s="1235">
        <f t="shared" si="105"/>
        <v>5400</v>
      </c>
      <c r="AE134" s="1257">
        <f t="shared" si="106"/>
        <v>4771.5825748873376</v>
      </c>
    </row>
    <row r="135" spans="1:31" ht="60.75" x14ac:dyDescent="0.3">
      <c r="A135" s="57"/>
      <c r="B135" s="63"/>
      <c r="C135" s="324" t="s">
        <v>116</v>
      </c>
      <c r="D135" s="1110" t="s">
        <v>476</v>
      </c>
      <c r="E135" s="1241">
        <f>7875</f>
        <v>7875</v>
      </c>
      <c r="F135" s="1242">
        <f>7875</f>
        <v>7875</v>
      </c>
      <c r="G135" s="1242">
        <f>7875</f>
        <v>7875</v>
      </c>
      <c r="H135" s="1243">
        <f t="shared" si="95"/>
        <v>23625</v>
      </c>
      <c r="I135" s="1236" t="s">
        <v>117</v>
      </c>
      <c r="J135" s="1235" t="s">
        <v>993</v>
      </c>
      <c r="K135" s="1644">
        <v>45</v>
      </c>
      <c r="L135" s="1235">
        <f>H135/45</f>
        <v>525</v>
      </c>
      <c r="M135" s="1235">
        <f t="shared" si="96"/>
        <v>463.90386144738005</v>
      </c>
      <c r="N135" s="1235">
        <f t="shared" si="97"/>
        <v>23625</v>
      </c>
      <c r="O135" s="1463">
        <f t="shared" si="98"/>
        <v>20875.673765132102</v>
      </c>
      <c r="P135" s="1488"/>
      <c r="Q135" s="1489">
        <v>3052</v>
      </c>
      <c r="R135" s="1489"/>
      <c r="S135" s="1489"/>
      <c r="T135" s="1487">
        <f t="shared" si="99"/>
        <v>3052</v>
      </c>
      <c r="U135" s="1490" t="s">
        <v>767</v>
      </c>
      <c r="V135" s="1407">
        <f t="shared" si="100"/>
        <v>3052</v>
      </c>
      <c r="W135" s="1451">
        <f t="shared" si="101"/>
        <v>2696.8277812141027</v>
      </c>
      <c r="X135" s="1407">
        <f t="shared" si="102"/>
        <v>-20573</v>
      </c>
      <c r="Y135" s="1408">
        <f t="shared" si="103"/>
        <v>-18178.845983918</v>
      </c>
      <c r="Z135" s="1391" t="s">
        <v>993</v>
      </c>
      <c r="AA135" s="1644">
        <v>45</v>
      </c>
      <c r="AB135" s="1235">
        <f>V135/45</f>
        <v>67.822222222222223</v>
      </c>
      <c r="AC135" s="1235">
        <f t="shared" si="104"/>
        <v>59.929506249202284</v>
      </c>
      <c r="AD135" s="1235">
        <f t="shared" si="105"/>
        <v>3052</v>
      </c>
      <c r="AE135" s="1257">
        <f t="shared" si="106"/>
        <v>2696.8277812141027</v>
      </c>
    </row>
    <row r="136" spans="1:31" ht="40.5" x14ac:dyDescent="0.3">
      <c r="A136" s="57"/>
      <c r="B136" s="7"/>
      <c r="C136" s="324" t="s">
        <v>477</v>
      </c>
      <c r="D136" s="1110" t="s">
        <v>119</v>
      </c>
      <c r="E136" s="1241">
        <f>10000</f>
        <v>10000</v>
      </c>
      <c r="F136" s="1242"/>
      <c r="G136" s="1242"/>
      <c r="H136" s="1243">
        <f t="shared" si="95"/>
        <v>10000</v>
      </c>
      <c r="I136" s="1236" t="s">
        <v>120</v>
      </c>
      <c r="J136" s="1235" t="s">
        <v>1001</v>
      </c>
      <c r="K136" s="1644">
        <v>25</v>
      </c>
      <c r="L136" s="1235">
        <f>H136/25</f>
        <v>400</v>
      </c>
      <c r="M136" s="1235">
        <f t="shared" si="96"/>
        <v>353.45056110276579</v>
      </c>
      <c r="N136" s="1235">
        <f t="shared" si="97"/>
        <v>10000</v>
      </c>
      <c r="O136" s="1463">
        <f t="shared" si="98"/>
        <v>8836.2640275691447</v>
      </c>
      <c r="P136" s="1488">
        <v>590</v>
      </c>
      <c r="Q136" s="1489"/>
      <c r="R136" s="1489"/>
      <c r="S136" s="1489">
        <f>10000</f>
        <v>10000</v>
      </c>
      <c r="T136" s="1487">
        <f t="shared" si="99"/>
        <v>10590</v>
      </c>
      <c r="U136" s="1490" t="s">
        <v>479</v>
      </c>
      <c r="V136" s="1407">
        <f t="shared" si="100"/>
        <v>10590</v>
      </c>
      <c r="W136" s="1451">
        <f t="shared" si="101"/>
        <v>9357.6036051957235</v>
      </c>
      <c r="X136" s="1407">
        <f t="shared" si="102"/>
        <v>590</v>
      </c>
      <c r="Y136" s="1408">
        <f t="shared" si="103"/>
        <v>521.33957762657883</v>
      </c>
      <c r="Z136" s="1391" t="s">
        <v>1001</v>
      </c>
      <c r="AA136" s="1644">
        <v>2</v>
      </c>
      <c r="AB136" s="1235">
        <f>V136/2</f>
        <v>5295</v>
      </c>
      <c r="AC136" s="1235">
        <f t="shared" si="104"/>
        <v>4678.8018025978618</v>
      </c>
      <c r="AD136" s="1235">
        <f t="shared" si="105"/>
        <v>10590</v>
      </c>
      <c r="AE136" s="1257">
        <f t="shared" si="106"/>
        <v>9357.6036051957235</v>
      </c>
    </row>
    <row r="137" spans="1:31" ht="40.5" x14ac:dyDescent="0.3">
      <c r="A137" s="224"/>
      <c r="B137" s="7"/>
      <c r="C137" s="450" t="s">
        <v>858</v>
      </c>
      <c r="D137" s="1110" t="s">
        <v>669</v>
      </c>
      <c r="E137" s="1241"/>
      <c r="F137" s="1242"/>
      <c r="G137" s="1242"/>
      <c r="H137" s="1243">
        <f t="shared" si="95"/>
        <v>0</v>
      </c>
      <c r="I137" s="1237"/>
      <c r="J137" s="1235"/>
      <c r="K137" s="1644">
        <v>0</v>
      </c>
      <c r="L137" s="1235">
        <f t="shared" si="107"/>
        <v>0</v>
      </c>
      <c r="M137" s="1235">
        <f t="shared" si="96"/>
        <v>0</v>
      </c>
      <c r="N137" s="1235">
        <f t="shared" si="97"/>
        <v>0</v>
      </c>
      <c r="O137" s="1463">
        <f t="shared" si="98"/>
        <v>0</v>
      </c>
      <c r="P137" s="1526"/>
      <c r="Q137" s="1527"/>
      <c r="R137" s="1527"/>
      <c r="S137" s="1527">
        <v>5000</v>
      </c>
      <c r="T137" s="1487">
        <f t="shared" si="99"/>
        <v>5000</v>
      </c>
      <c r="U137" s="1490" t="s">
        <v>670</v>
      </c>
      <c r="V137" s="1407">
        <f t="shared" si="100"/>
        <v>5000</v>
      </c>
      <c r="W137" s="1451">
        <f t="shared" si="101"/>
        <v>4418.1320137845723</v>
      </c>
      <c r="X137" s="1407">
        <f t="shared" si="102"/>
        <v>5000</v>
      </c>
      <c r="Y137" s="1408">
        <f t="shared" si="103"/>
        <v>4418.1320137845723</v>
      </c>
      <c r="Z137" s="1391" t="s">
        <v>1001</v>
      </c>
      <c r="AA137" s="1644">
        <v>10</v>
      </c>
      <c r="AB137" s="1235">
        <f>V137/10</f>
        <v>500</v>
      </c>
      <c r="AC137" s="1235">
        <f t="shared" si="104"/>
        <v>441.81320137845722</v>
      </c>
      <c r="AD137" s="1235">
        <f>AA137*AB137</f>
        <v>5000</v>
      </c>
      <c r="AE137" s="1257">
        <f t="shared" si="106"/>
        <v>4418.1320137845723</v>
      </c>
    </row>
    <row r="138" spans="1:31" ht="60.75" x14ac:dyDescent="0.3">
      <c r="A138" s="224"/>
      <c r="B138" s="7"/>
      <c r="C138" s="453" t="s">
        <v>859</v>
      </c>
      <c r="D138" s="1110" t="s">
        <v>671</v>
      </c>
      <c r="E138" s="1241"/>
      <c r="F138" s="1242"/>
      <c r="G138" s="1242"/>
      <c r="H138" s="1243">
        <f t="shared" si="95"/>
        <v>0</v>
      </c>
      <c r="I138" s="1237"/>
      <c r="J138" s="1235"/>
      <c r="K138" s="1644">
        <v>0</v>
      </c>
      <c r="L138" s="1235">
        <f t="shared" si="107"/>
        <v>0</v>
      </c>
      <c r="M138" s="1235">
        <f t="shared" si="96"/>
        <v>0</v>
      </c>
      <c r="N138" s="1235">
        <f t="shared" si="97"/>
        <v>0</v>
      </c>
      <c r="O138" s="1463">
        <f t="shared" si="98"/>
        <v>0</v>
      </c>
      <c r="P138" s="1526"/>
      <c r="Q138" s="1527"/>
      <c r="R138" s="1527"/>
      <c r="S138" s="1527">
        <v>22500</v>
      </c>
      <c r="T138" s="1487">
        <f t="shared" si="99"/>
        <v>22500</v>
      </c>
      <c r="U138" s="1490" t="s">
        <v>873</v>
      </c>
      <c r="V138" s="1407">
        <f t="shared" si="100"/>
        <v>22500</v>
      </c>
      <c r="W138" s="1451">
        <f t="shared" si="101"/>
        <v>19881.594062030574</v>
      </c>
      <c r="X138" s="1407">
        <f t="shared" si="102"/>
        <v>22500</v>
      </c>
      <c r="Y138" s="1408">
        <f t="shared" si="103"/>
        <v>19881.594062030574</v>
      </c>
      <c r="Z138" s="1391" t="s">
        <v>993</v>
      </c>
      <c r="AA138" s="1644">
        <v>50</v>
      </c>
      <c r="AB138" s="1235">
        <f>V138/50</f>
        <v>450</v>
      </c>
      <c r="AC138" s="1235">
        <f t="shared" si="104"/>
        <v>397.63188124061151</v>
      </c>
      <c r="AD138" s="1235">
        <f>AA138*AB138</f>
        <v>22500</v>
      </c>
      <c r="AE138" s="1257">
        <f t="shared" si="106"/>
        <v>19881.594062030574</v>
      </c>
    </row>
    <row r="139" spans="1:31" ht="60.75" x14ac:dyDescent="0.3">
      <c r="A139" s="224"/>
      <c r="B139" s="7"/>
      <c r="C139" s="325" t="s">
        <v>860</v>
      </c>
      <c r="D139" s="1110" t="s">
        <v>478</v>
      </c>
      <c r="E139" s="1241"/>
      <c r="F139" s="1242"/>
      <c r="G139" s="1242"/>
      <c r="H139" s="1243">
        <f t="shared" si="95"/>
        <v>0</v>
      </c>
      <c r="I139" s="1237"/>
      <c r="J139" s="1235"/>
      <c r="K139" s="1644">
        <v>0</v>
      </c>
      <c r="L139" s="1235">
        <f t="shared" si="107"/>
        <v>0</v>
      </c>
      <c r="M139" s="1235">
        <f t="shared" si="96"/>
        <v>0</v>
      </c>
      <c r="N139" s="1235">
        <f t="shared" si="97"/>
        <v>0</v>
      </c>
      <c r="O139" s="1463">
        <f t="shared" si="98"/>
        <v>0</v>
      </c>
      <c r="P139" s="1488"/>
      <c r="Q139" s="1489"/>
      <c r="R139" s="1527">
        <f>7500</f>
        <v>7500</v>
      </c>
      <c r="S139" s="1527"/>
      <c r="T139" s="1487">
        <f t="shared" si="99"/>
        <v>7500</v>
      </c>
      <c r="U139" s="1490" t="s">
        <v>1063</v>
      </c>
      <c r="V139" s="1407">
        <f t="shared" si="100"/>
        <v>7500</v>
      </c>
      <c r="W139" s="1451">
        <f t="shared" si="101"/>
        <v>6627.1980206768585</v>
      </c>
      <c r="X139" s="1407">
        <f t="shared" si="102"/>
        <v>7500</v>
      </c>
      <c r="Y139" s="1408">
        <f t="shared" si="103"/>
        <v>6627.1980206768585</v>
      </c>
      <c r="Z139" s="1391" t="s">
        <v>1098</v>
      </c>
      <c r="AA139" s="1644">
        <v>4</v>
      </c>
      <c r="AB139" s="1235">
        <f>V139/4</f>
        <v>1875</v>
      </c>
      <c r="AC139" s="1235">
        <f t="shared" si="104"/>
        <v>1656.7995051692146</v>
      </c>
      <c r="AD139" s="1235">
        <f>AA139*AB139</f>
        <v>7500</v>
      </c>
      <c r="AE139" s="1257">
        <f t="shared" si="106"/>
        <v>6627.1980206768585</v>
      </c>
    </row>
    <row r="140" spans="1:31" ht="121.5" x14ac:dyDescent="0.3">
      <c r="A140" s="74"/>
      <c r="B140" s="7"/>
      <c r="C140" s="324" t="s">
        <v>861</v>
      </c>
      <c r="D140" s="1110" t="s">
        <v>482</v>
      </c>
      <c r="E140" s="1241"/>
      <c r="F140" s="1242"/>
      <c r="G140" s="1242"/>
      <c r="H140" s="1243">
        <f t="shared" si="95"/>
        <v>0</v>
      </c>
      <c r="I140" s="1237"/>
      <c r="J140" s="1235"/>
      <c r="K140" s="1644">
        <v>0</v>
      </c>
      <c r="L140" s="1235">
        <f t="shared" si="107"/>
        <v>0</v>
      </c>
      <c r="M140" s="1235">
        <f t="shared" si="96"/>
        <v>0</v>
      </c>
      <c r="N140" s="1235">
        <f t="shared" si="97"/>
        <v>0</v>
      </c>
      <c r="O140" s="1463">
        <f t="shared" si="98"/>
        <v>0</v>
      </c>
      <c r="P140" s="1488"/>
      <c r="Q140" s="1489"/>
      <c r="R140" s="1489">
        <f>10000</f>
        <v>10000</v>
      </c>
      <c r="S140" s="1489"/>
      <c r="T140" s="1487">
        <f t="shared" si="99"/>
        <v>10000</v>
      </c>
      <c r="U140" s="1490" t="s">
        <v>483</v>
      </c>
      <c r="V140" s="1407">
        <f t="shared" si="100"/>
        <v>10000</v>
      </c>
      <c r="W140" s="1451">
        <f t="shared" si="101"/>
        <v>8836.2640275691447</v>
      </c>
      <c r="X140" s="1407">
        <f t="shared" si="102"/>
        <v>10000</v>
      </c>
      <c r="Y140" s="1408">
        <f t="shared" si="103"/>
        <v>8836.2640275691447</v>
      </c>
      <c r="Z140" s="1391" t="s">
        <v>1099</v>
      </c>
      <c r="AA140" s="1644">
        <v>50</v>
      </c>
      <c r="AB140" s="1235">
        <f>V140/50</f>
        <v>200</v>
      </c>
      <c r="AC140" s="1235">
        <f t="shared" si="104"/>
        <v>176.72528055138289</v>
      </c>
      <c r="AD140" s="1235">
        <f t="shared" si="105"/>
        <v>10000</v>
      </c>
      <c r="AE140" s="1257">
        <f t="shared" si="106"/>
        <v>8836.2640275691447</v>
      </c>
    </row>
    <row r="141" spans="1:31" ht="40.5" x14ac:dyDescent="0.3">
      <c r="A141" s="74"/>
      <c r="B141" s="7"/>
      <c r="C141" s="642" t="s">
        <v>862</v>
      </c>
      <c r="D141" s="1101" t="s">
        <v>712</v>
      </c>
      <c r="E141" s="1244"/>
      <c r="F141" s="1245"/>
      <c r="G141" s="1245"/>
      <c r="H141" s="1243">
        <f t="shared" si="95"/>
        <v>0</v>
      </c>
      <c r="I141" s="1237"/>
      <c r="J141" s="1235"/>
      <c r="K141" s="1644">
        <v>0</v>
      </c>
      <c r="L141" s="1235">
        <f t="shared" si="107"/>
        <v>0</v>
      </c>
      <c r="M141" s="1235">
        <f t="shared" si="96"/>
        <v>0</v>
      </c>
      <c r="N141" s="1235">
        <f t="shared" si="97"/>
        <v>0</v>
      </c>
      <c r="O141" s="1463">
        <f t="shared" si="98"/>
        <v>0</v>
      </c>
      <c r="P141" s="1526"/>
      <c r="Q141" s="1527"/>
      <c r="R141" s="1527">
        <f>5400</f>
        <v>5400</v>
      </c>
      <c r="S141" s="1527"/>
      <c r="T141" s="1487">
        <f t="shared" si="99"/>
        <v>5400</v>
      </c>
      <c r="U141" s="1490" t="s">
        <v>713</v>
      </c>
      <c r="V141" s="1407">
        <f t="shared" si="100"/>
        <v>5400</v>
      </c>
      <c r="W141" s="1451">
        <f t="shared" si="101"/>
        <v>4771.5825748873376</v>
      </c>
      <c r="X141" s="1407">
        <f t="shared" si="102"/>
        <v>5400</v>
      </c>
      <c r="Y141" s="1408">
        <f t="shared" si="103"/>
        <v>4771.5825748873376</v>
      </c>
      <c r="Z141" s="1391" t="s">
        <v>1100</v>
      </c>
      <c r="AA141" s="1644">
        <v>30</v>
      </c>
      <c r="AB141" s="1235">
        <f>V141/30</f>
        <v>180</v>
      </c>
      <c r="AC141" s="1235">
        <f t="shared" si="104"/>
        <v>159.05275249624461</v>
      </c>
      <c r="AD141" s="1235">
        <f t="shared" si="105"/>
        <v>5400</v>
      </c>
      <c r="AE141" s="1257">
        <f t="shared" si="106"/>
        <v>4771.5825748873376</v>
      </c>
    </row>
    <row r="142" spans="1:31" ht="40.5" x14ac:dyDescent="0.3">
      <c r="A142" s="74"/>
      <c r="B142" s="1100"/>
      <c r="C142" s="1669" t="s">
        <v>121</v>
      </c>
      <c r="D142" s="1670" t="s">
        <v>979</v>
      </c>
      <c r="E142" s="1244">
        <f>20000</f>
        <v>20000</v>
      </c>
      <c r="F142" s="1245">
        <v>30000</v>
      </c>
      <c r="G142" s="1245"/>
      <c r="H142" s="1243">
        <f t="shared" si="95"/>
        <v>50000</v>
      </c>
      <c r="I142" s="1237" t="s">
        <v>122</v>
      </c>
      <c r="J142" s="1235" t="s">
        <v>1002</v>
      </c>
      <c r="K142" s="1644">
        <v>50</v>
      </c>
      <c r="L142" s="1235">
        <f>H142/50</f>
        <v>1000</v>
      </c>
      <c r="M142" s="1235">
        <f t="shared" si="96"/>
        <v>883.62640275691444</v>
      </c>
      <c r="N142" s="1235">
        <f t="shared" si="97"/>
        <v>50000</v>
      </c>
      <c r="O142" s="1463">
        <f t="shared" si="98"/>
        <v>44181.320137845723</v>
      </c>
      <c r="P142" s="1488"/>
      <c r="Q142" s="1489">
        <f>858.7*20</f>
        <v>17174</v>
      </c>
      <c r="R142" s="1489"/>
      <c r="S142" s="1489"/>
      <c r="T142" s="1487">
        <f t="shared" si="99"/>
        <v>17174</v>
      </c>
      <c r="U142" s="1490" t="s">
        <v>1083</v>
      </c>
      <c r="V142" s="1407">
        <f t="shared" si="100"/>
        <v>17174</v>
      </c>
      <c r="W142" s="1451">
        <f t="shared" si="101"/>
        <v>15175.399840947248</v>
      </c>
      <c r="X142" s="1407">
        <f t="shared" si="102"/>
        <v>-32826</v>
      </c>
      <c r="Y142" s="1408">
        <f t="shared" si="103"/>
        <v>-29005.920296898475</v>
      </c>
      <c r="Z142" s="1391" t="s">
        <v>1073</v>
      </c>
      <c r="AA142" s="1624">
        <v>20</v>
      </c>
      <c r="AB142" s="1257">
        <f>V142/20</f>
        <v>858.7</v>
      </c>
      <c r="AC142" s="1257">
        <f t="shared" si="104"/>
        <v>758.76999204736251</v>
      </c>
      <c r="AD142" s="1257">
        <f t="shared" si="105"/>
        <v>17174</v>
      </c>
      <c r="AE142" s="1257">
        <f t="shared" si="106"/>
        <v>15175.399840947248</v>
      </c>
    </row>
    <row r="143" spans="1:31" ht="40.5" x14ac:dyDescent="0.3">
      <c r="A143" s="74"/>
      <c r="B143" s="63"/>
      <c r="C143" s="325" t="s">
        <v>980</v>
      </c>
      <c r="D143" s="1095" t="s">
        <v>484</v>
      </c>
      <c r="E143" s="1244"/>
      <c r="F143" s="1245"/>
      <c r="G143" s="1245"/>
      <c r="H143" s="1243">
        <f t="shared" si="95"/>
        <v>0</v>
      </c>
      <c r="I143" s="1237"/>
      <c r="J143" s="1235"/>
      <c r="K143" s="1644">
        <v>0</v>
      </c>
      <c r="L143" s="1235">
        <f t="shared" si="107"/>
        <v>0</v>
      </c>
      <c r="M143" s="1235">
        <f t="shared" si="96"/>
        <v>0</v>
      </c>
      <c r="N143" s="1235">
        <f t="shared" si="97"/>
        <v>0</v>
      </c>
      <c r="O143" s="1463">
        <f t="shared" si="98"/>
        <v>0</v>
      </c>
      <c r="P143" s="1488">
        <v>0</v>
      </c>
      <c r="Q143" s="1489">
        <v>840</v>
      </c>
      <c r="R143" s="1489"/>
      <c r="S143" s="1489"/>
      <c r="T143" s="1487">
        <f t="shared" si="99"/>
        <v>840</v>
      </c>
      <c r="U143" s="1490" t="s">
        <v>485</v>
      </c>
      <c r="V143" s="1407">
        <f t="shared" si="100"/>
        <v>840</v>
      </c>
      <c r="W143" s="1451">
        <f t="shared" si="101"/>
        <v>742.24617831580815</v>
      </c>
      <c r="X143" s="1407">
        <f t="shared" si="102"/>
        <v>840</v>
      </c>
      <c r="Y143" s="1408">
        <f t="shared" si="103"/>
        <v>742.24617831580815</v>
      </c>
      <c r="Z143" s="1391" t="s">
        <v>1101</v>
      </c>
      <c r="AA143" s="1644">
        <v>4</v>
      </c>
      <c r="AB143" s="1235">
        <f>V143/4</f>
        <v>210</v>
      </c>
      <c r="AC143" s="1235">
        <f t="shared" si="104"/>
        <v>185.56154457895204</v>
      </c>
      <c r="AD143" s="1235">
        <f t="shared" si="105"/>
        <v>840</v>
      </c>
      <c r="AE143" s="1257">
        <f t="shared" si="106"/>
        <v>742.24617831580815</v>
      </c>
    </row>
    <row r="144" spans="1:31" ht="41.25" thickBot="1" x14ac:dyDescent="0.35">
      <c r="A144" s="57"/>
      <c r="B144" s="281"/>
      <c r="C144" s="325" t="s">
        <v>123</v>
      </c>
      <c r="D144" s="1095" t="s">
        <v>548</v>
      </c>
      <c r="E144" s="1244">
        <f>80000</f>
        <v>80000</v>
      </c>
      <c r="F144" s="1245">
        <f>10000</f>
        <v>10000</v>
      </c>
      <c r="G144" s="1245"/>
      <c r="H144" s="1243">
        <f t="shared" si="95"/>
        <v>90000</v>
      </c>
      <c r="I144" s="1237" t="s">
        <v>124</v>
      </c>
      <c r="J144" s="1235" t="s">
        <v>1003</v>
      </c>
      <c r="K144" s="1644">
        <v>2</v>
      </c>
      <c r="L144" s="1235">
        <f>H144/2</f>
        <v>45000</v>
      </c>
      <c r="M144" s="1235">
        <f t="shared" si="96"/>
        <v>39763.188124061147</v>
      </c>
      <c r="N144" s="1235">
        <f t="shared" si="97"/>
        <v>90000</v>
      </c>
      <c r="O144" s="1463">
        <f t="shared" si="98"/>
        <v>79526.376248122295</v>
      </c>
      <c r="P144" s="1488"/>
      <c r="Q144" s="1489">
        <f>43793.33</f>
        <v>43793.33</v>
      </c>
      <c r="R144" s="1489"/>
      <c r="S144" s="1489"/>
      <c r="T144" s="1487">
        <f t="shared" si="99"/>
        <v>43793.33</v>
      </c>
      <c r="U144" s="1490" t="s">
        <v>1077</v>
      </c>
      <c r="V144" s="1407">
        <f t="shared" si="100"/>
        <v>43793.33</v>
      </c>
      <c r="W144" s="1451">
        <f t="shared" si="101"/>
        <v>38696.942652646467</v>
      </c>
      <c r="X144" s="1407">
        <f t="shared" si="102"/>
        <v>-46206.67</v>
      </c>
      <c r="Y144" s="1408">
        <f t="shared" si="103"/>
        <v>-40829.433595475828</v>
      </c>
      <c r="Z144" s="1391" t="s">
        <v>1078</v>
      </c>
      <c r="AA144" s="1644">
        <v>2</v>
      </c>
      <c r="AB144" s="1235">
        <f>V144/2</f>
        <v>21896.665000000001</v>
      </c>
      <c r="AC144" s="1235">
        <f t="shared" si="104"/>
        <v>19348.471326323233</v>
      </c>
      <c r="AD144" s="1235">
        <f t="shared" si="105"/>
        <v>43793.33</v>
      </c>
      <c r="AE144" s="1257">
        <f t="shared" si="106"/>
        <v>38696.942652646467</v>
      </c>
    </row>
    <row r="145" spans="1:31" ht="20.25" x14ac:dyDescent="0.3">
      <c r="A145" s="224"/>
      <c r="B145" s="1092"/>
      <c r="C145" s="325" t="s">
        <v>125</v>
      </c>
      <c r="D145" s="1095" t="s">
        <v>126</v>
      </c>
      <c r="E145" s="1244"/>
      <c r="F145" s="1245">
        <v>10000</v>
      </c>
      <c r="G145" s="1245"/>
      <c r="H145" s="1243">
        <f t="shared" si="95"/>
        <v>10000</v>
      </c>
      <c r="I145" s="1237" t="s">
        <v>127</v>
      </c>
      <c r="J145" s="1235" t="s">
        <v>1004</v>
      </c>
      <c r="K145" s="1644">
        <v>1</v>
      </c>
      <c r="L145" s="1235">
        <f>H145</f>
        <v>10000</v>
      </c>
      <c r="M145" s="1235">
        <f t="shared" si="96"/>
        <v>8836.2640275691447</v>
      </c>
      <c r="N145" s="1235">
        <f t="shared" si="97"/>
        <v>10000</v>
      </c>
      <c r="O145" s="1463">
        <f t="shared" si="98"/>
        <v>8836.2640275691447</v>
      </c>
      <c r="P145" s="1488"/>
      <c r="Q145" s="1489"/>
      <c r="R145" s="1489"/>
      <c r="S145" s="1489"/>
      <c r="T145" s="1487">
        <f t="shared" si="99"/>
        <v>0</v>
      </c>
      <c r="U145" s="1490"/>
      <c r="V145" s="1407"/>
      <c r="W145" s="1451">
        <f t="shared" si="101"/>
        <v>0</v>
      </c>
      <c r="X145" s="1407">
        <f t="shared" si="102"/>
        <v>-10000</v>
      </c>
      <c r="Y145" s="1408">
        <f t="shared" si="103"/>
        <v>-8836.2640275691447</v>
      </c>
      <c r="Z145" s="1391" t="s">
        <v>1004</v>
      </c>
      <c r="AA145" s="1644"/>
      <c r="AB145" s="1235"/>
      <c r="AC145" s="1235"/>
      <c r="AD145" s="1235"/>
      <c r="AE145" s="1257">
        <f t="shared" si="106"/>
        <v>0</v>
      </c>
    </row>
    <row r="146" spans="1:31" ht="121.5" x14ac:dyDescent="0.3">
      <c r="A146" s="224"/>
      <c r="B146" s="1092"/>
      <c r="C146" s="325" t="s">
        <v>128</v>
      </c>
      <c r="D146" s="1095" t="s">
        <v>129</v>
      </c>
      <c r="E146" s="1244"/>
      <c r="F146" s="1245">
        <f>50000</f>
        <v>50000</v>
      </c>
      <c r="G146" s="1245"/>
      <c r="H146" s="1243">
        <f t="shared" si="95"/>
        <v>50000</v>
      </c>
      <c r="I146" s="1237" t="s">
        <v>130</v>
      </c>
      <c r="J146" s="1235" t="s">
        <v>1004</v>
      </c>
      <c r="K146" s="1644">
        <v>1</v>
      </c>
      <c r="L146" s="1235">
        <f>H146</f>
        <v>50000</v>
      </c>
      <c r="M146" s="1235">
        <f t="shared" si="96"/>
        <v>44181.320137845723</v>
      </c>
      <c r="N146" s="1235">
        <f t="shared" si="97"/>
        <v>50000</v>
      </c>
      <c r="O146" s="1463">
        <f t="shared" si="98"/>
        <v>44181.320137845723</v>
      </c>
      <c r="P146" s="1488"/>
      <c r="Q146" s="1489"/>
      <c r="R146" s="1489"/>
      <c r="S146" s="1489"/>
      <c r="T146" s="1487">
        <f t="shared" si="99"/>
        <v>0</v>
      </c>
      <c r="U146" s="1490"/>
      <c r="V146" s="1407"/>
      <c r="W146" s="1451">
        <f t="shared" si="101"/>
        <v>0</v>
      </c>
      <c r="X146" s="1407">
        <f t="shared" si="102"/>
        <v>-50000</v>
      </c>
      <c r="Y146" s="1408">
        <f t="shared" si="103"/>
        <v>-44181.320137845723</v>
      </c>
      <c r="Z146" s="1391" t="s">
        <v>1004</v>
      </c>
      <c r="AA146" s="1644"/>
      <c r="AB146" s="1235"/>
      <c r="AC146" s="1235"/>
      <c r="AD146" s="1235"/>
      <c r="AE146" s="1257">
        <f t="shared" si="106"/>
        <v>0</v>
      </c>
    </row>
    <row r="147" spans="1:31" ht="101.25" x14ac:dyDescent="0.3">
      <c r="A147" s="57"/>
      <c r="B147" s="63"/>
      <c r="C147" s="325" t="s">
        <v>131</v>
      </c>
      <c r="D147" s="1095" t="s">
        <v>599</v>
      </c>
      <c r="E147" s="1244">
        <f>9675</f>
        <v>9675</v>
      </c>
      <c r="F147" s="1245">
        <f>5405</f>
        <v>5405</v>
      </c>
      <c r="G147" s="1245"/>
      <c r="H147" s="1243">
        <f t="shared" si="95"/>
        <v>15080</v>
      </c>
      <c r="I147" s="1237" t="s">
        <v>1005</v>
      </c>
      <c r="J147" s="1235" t="s">
        <v>993</v>
      </c>
      <c r="K147" s="1644">
        <v>260</v>
      </c>
      <c r="L147" s="1235">
        <f>H147/260</f>
        <v>58</v>
      </c>
      <c r="M147" s="1235">
        <f t="shared" si="96"/>
        <v>51.25033135990104</v>
      </c>
      <c r="N147" s="1235">
        <f t="shared" si="97"/>
        <v>15080</v>
      </c>
      <c r="O147" s="1463">
        <f t="shared" si="98"/>
        <v>13325.08615357427</v>
      </c>
      <c r="P147" s="1488">
        <f>29500</f>
        <v>29500</v>
      </c>
      <c r="Q147" s="1489">
        <f>44720+28550</f>
        <v>73270</v>
      </c>
      <c r="R147" s="1489"/>
      <c r="S147" s="1489"/>
      <c r="T147" s="1487">
        <f t="shared" si="99"/>
        <v>102770</v>
      </c>
      <c r="U147" s="1490" t="s">
        <v>768</v>
      </c>
      <c r="V147" s="1407">
        <f>P147+Q147+R147+S147</f>
        <v>102770</v>
      </c>
      <c r="W147" s="1451">
        <f t="shared" si="101"/>
        <v>90810.285411328092</v>
      </c>
      <c r="X147" s="1407">
        <f t="shared" si="102"/>
        <v>87690</v>
      </c>
      <c r="Y147" s="1408">
        <f t="shared" si="103"/>
        <v>77485.199257753819</v>
      </c>
      <c r="Z147" s="1391" t="s">
        <v>993</v>
      </c>
      <c r="AA147" s="1644">
        <v>520</v>
      </c>
      <c r="AB147" s="1235">
        <f>V147/520</f>
        <v>197.63461538461539</v>
      </c>
      <c r="AC147" s="1235">
        <f t="shared" si="104"/>
        <v>174.63516425255403</v>
      </c>
      <c r="AD147" s="1235">
        <f t="shared" ref="AD147" si="108">AA147*AB147</f>
        <v>102770</v>
      </c>
      <c r="AE147" s="1257">
        <f t="shared" si="106"/>
        <v>90810.285411328092</v>
      </c>
    </row>
    <row r="148" spans="1:31" ht="101.25" x14ac:dyDescent="0.3">
      <c r="A148" s="228"/>
      <c r="B148" s="63"/>
      <c r="C148" s="325" t="s">
        <v>132</v>
      </c>
      <c r="D148" s="1095" t="s">
        <v>133</v>
      </c>
      <c r="E148" s="1244">
        <f>9450</f>
        <v>9450</v>
      </c>
      <c r="F148" s="1245">
        <f>5550</f>
        <v>5550</v>
      </c>
      <c r="G148" s="1245"/>
      <c r="H148" s="1243">
        <f t="shared" si="95"/>
        <v>15000</v>
      </c>
      <c r="I148" s="1236" t="s">
        <v>134</v>
      </c>
      <c r="J148" s="1235" t="s">
        <v>993</v>
      </c>
      <c r="K148" s="1644">
        <v>15</v>
      </c>
      <c r="L148" s="1235">
        <f>H148/15</f>
        <v>1000</v>
      </c>
      <c r="M148" s="1235">
        <f t="shared" si="96"/>
        <v>883.62640275691444</v>
      </c>
      <c r="N148" s="1235">
        <f t="shared" si="97"/>
        <v>15000</v>
      </c>
      <c r="O148" s="1463">
        <f t="shared" si="98"/>
        <v>13254.396041353717</v>
      </c>
      <c r="P148" s="1488"/>
      <c r="Q148" s="1489">
        <f>1803</f>
        <v>1803</v>
      </c>
      <c r="R148" s="1489">
        <v>3840</v>
      </c>
      <c r="S148" s="1489"/>
      <c r="T148" s="1487">
        <f t="shared" si="99"/>
        <v>5643</v>
      </c>
      <c r="U148" s="1490" t="s">
        <v>600</v>
      </c>
      <c r="V148" s="1407">
        <f>P148+Q148+R148+S148</f>
        <v>5643</v>
      </c>
      <c r="W148" s="1451">
        <f t="shared" si="101"/>
        <v>4986.303790757268</v>
      </c>
      <c r="X148" s="1407">
        <f t="shared" si="102"/>
        <v>-9357</v>
      </c>
      <c r="Y148" s="1408">
        <f t="shared" si="103"/>
        <v>-8268.0922505964481</v>
      </c>
      <c r="Z148" s="1391" t="s">
        <v>993</v>
      </c>
      <c r="AA148" s="1644">
        <v>520</v>
      </c>
      <c r="AB148" s="1235">
        <f>V148/520</f>
        <v>10.851923076923077</v>
      </c>
      <c r="AC148" s="1235">
        <f t="shared" si="104"/>
        <v>9.5890457514562843</v>
      </c>
      <c r="AD148" s="1235">
        <f t="shared" si="105"/>
        <v>5643</v>
      </c>
      <c r="AE148" s="1257">
        <f t="shared" si="106"/>
        <v>4986.303790757268</v>
      </c>
    </row>
    <row r="149" spans="1:31" ht="101.25" x14ac:dyDescent="0.3">
      <c r="A149" s="229"/>
      <c r="B149" s="63"/>
      <c r="C149" s="325" t="s">
        <v>672</v>
      </c>
      <c r="D149" s="1095" t="s">
        <v>136</v>
      </c>
      <c r="E149" s="1244">
        <f>10000</f>
        <v>10000</v>
      </c>
      <c r="F149" s="1245">
        <f>10000</f>
        <v>10000</v>
      </c>
      <c r="G149" s="1245"/>
      <c r="H149" s="1243">
        <f t="shared" si="95"/>
        <v>20000</v>
      </c>
      <c r="I149" s="1236" t="s">
        <v>137</v>
      </c>
      <c r="J149" s="1235" t="s">
        <v>993</v>
      </c>
      <c r="K149" s="1644">
        <v>10</v>
      </c>
      <c r="L149" s="1235">
        <f>H149/10</f>
        <v>2000</v>
      </c>
      <c r="M149" s="1235">
        <f t="shared" si="96"/>
        <v>1767.2528055138289</v>
      </c>
      <c r="N149" s="1235">
        <f t="shared" si="97"/>
        <v>20000</v>
      </c>
      <c r="O149" s="1463">
        <f t="shared" si="98"/>
        <v>17672.528055138289</v>
      </c>
      <c r="P149" s="1488"/>
      <c r="Q149" s="1489">
        <v>24710</v>
      </c>
      <c r="R149" s="1489"/>
      <c r="S149" s="1489"/>
      <c r="T149" s="1487">
        <f t="shared" si="99"/>
        <v>24710</v>
      </c>
      <c r="U149" s="1490" t="s">
        <v>769</v>
      </c>
      <c r="V149" s="1407">
        <f>P149+Q149+R149+S149</f>
        <v>24710</v>
      </c>
      <c r="W149" s="1451">
        <f t="shared" si="101"/>
        <v>21834.408412123357</v>
      </c>
      <c r="X149" s="1407">
        <f t="shared" si="102"/>
        <v>4710</v>
      </c>
      <c r="Y149" s="1408">
        <f t="shared" si="103"/>
        <v>4161.8803569850679</v>
      </c>
      <c r="Z149" s="1391" t="s">
        <v>993</v>
      </c>
      <c r="AA149" s="1644">
        <v>15</v>
      </c>
      <c r="AB149" s="1235">
        <f>V149/15</f>
        <v>1647.3333333333333</v>
      </c>
      <c r="AC149" s="1235">
        <f t="shared" si="104"/>
        <v>1455.6272274748903</v>
      </c>
      <c r="AD149" s="1235">
        <f t="shared" si="105"/>
        <v>24710</v>
      </c>
      <c r="AE149" s="1257">
        <f t="shared" si="106"/>
        <v>21834.408412123357</v>
      </c>
    </row>
    <row r="150" spans="1:31" ht="60.75" x14ac:dyDescent="0.3">
      <c r="A150" s="224"/>
      <c r="B150" s="204"/>
      <c r="C150" s="453" t="s">
        <v>759</v>
      </c>
      <c r="D150" s="1110" t="s">
        <v>802</v>
      </c>
      <c r="E150" s="1244"/>
      <c r="F150" s="1245"/>
      <c r="G150" s="1245"/>
      <c r="H150" s="1243">
        <f t="shared" si="95"/>
        <v>0</v>
      </c>
      <c r="I150" s="1236"/>
      <c r="J150" s="1235"/>
      <c r="K150" s="1644">
        <v>0</v>
      </c>
      <c r="L150" s="1235">
        <f t="shared" si="107"/>
        <v>0</v>
      </c>
      <c r="M150" s="1235">
        <f t="shared" si="96"/>
        <v>0</v>
      </c>
      <c r="N150" s="1235">
        <f t="shared" si="97"/>
        <v>0</v>
      </c>
      <c r="O150" s="1463">
        <f t="shared" si="98"/>
        <v>0</v>
      </c>
      <c r="P150" s="1526"/>
      <c r="Q150" s="1527"/>
      <c r="R150" s="1527"/>
      <c r="S150" s="1489">
        <f>10025+9800</f>
        <v>19825</v>
      </c>
      <c r="T150" s="1487">
        <f t="shared" si="99"/>
        <v>19825</v>
      </c>
      <c r="U150" s="1490" t="s">
        <v>891</v>
      </c>
      <c r="V150" s="1407">
        <f>P150+Q150+R150+S150</f>
        <v>19825</v>
      </c>
      <c r="W150" s="1451">
        <f t="shared" si="101"/>
        <v>17517.893434655827</v>
      </c>
      <c r="X150" s="1407">
        <f t="shared" si="102"/>
        <v>19825</v>
      </c>
      <c r="Y150" s="1408">
        <f t="shared" si="103"/>
        <v>17517.893434655827</v>
      </c>
      <c r="Z150" s="1391" t="s">
        <v>993</v>
      </c>
      <c r="AA150" s="1644">
        <v>30</v>
      </c>
      <c r="AB150" s="1235">
        <f>V150/30</f>
        <v>660.83333333333337</v>
      </c>
      <c r="AC150" s="1235">
        <f t="shared" si="104"/>
        <v>583.92978115519429</v>
      </c>
      <c r="AD150" s="1235">
        <f t="shared" si="105"/>
        <v>19825</v>
      </c>
      <c r="AE150" s="1257">
        <f t="shared" si="106"/>
        <v>17517.893434655827</v>
      </c>
    </row>
    <row r="151" spans="1:31" ht="60.75" x14ac:dyDescent="0.3">
      <c r="A151" s="74"/>
      <c r="B151" s="204"/>
      <c r="C151" s="325" t="s">
        <v>760</v>
      </c>
      <c r="D151" s="1110" t="s">
        <v>673</v>
      </c>
      <c r="E151" s="1244"/>
      <c r="F151" s="1245"/>
      <c r="G151" s="1245"/>
      <c r="H151" s="1243">
        <f t="shared" si="95"/>
        <v>0</v>
      </c>
      <c r="I151" s="1236"/>
      <c r="J151" s="1235"/>
      <c r="K151" s="1644">
        <v>0</v>
      </c>
      <c r="L151" s="1235">
        <f t="shared" si="107"/>
        <v>0</v>
      </c>
      <c r="M151" s="1235">
        <f t="shared" si="96"/>
        <v>0</v>
      </c>
      <c r="N151" s="1235">
        <f t="shared" si="97"/>
        <v>0</v>
      </c>
      <c r="O151" s="1463">
        <f t="shared" si="98"/>
        <v>0</v>
      </c>
      <c r="P151" s="1526"/>
      <c r="Q151" s="1527"/>
      <c r="R151" s="1527">
        <v>4000</v>
      </c>
      <c r="S151" s="1527">
        <v>5000</v>
      </c>
      <c r="T151" s="1487">
        <f t="shared" si="99"/>
        <v>9000</v>
      </c>
      <c r="U151" s="1490" t="s">
        <v>803</v>
      </c>
      <c r="V151" s="1407">
        <f>P151+Q151+R151+S151</f>
        <v>9000</v>
      </c>
      <c r="W151" s="1451">
        <f t="shared" si="101"/>
        <v>7952.6376248122297</v>
      </c>
      <c r="X151" s="1407">
        <f t="shared" si="102"/>
        <v>9000</v>
      </c>
      <c r="Y151" s="1408">
        <f t="shared" si="103"/>
        <v>7952.6376248122297</v>
      </c>
      <c r="Z151" s="1391" t="s">
        <v>1002</v>
      </c>
      <c r="AA151" s="1644">
        <v>2</v>
      </c>
      <c r="AB151" s="1235">
        <f>V151/2</f>
        <v>4500</v>
      </c>
      <c r="AC151" s="1235">
        <f t="shared" si="104"/>
        <v>3976.3188124061148</v>
      </c>
      <c r="AD151" s="1235">
        <f t="shared" ref="AD151:AD153" si="109">AA151*AB151</f>
        <v>9000</v>
      </c>
      <c r="AE151" s="1257">
        <f t="shared" si="106"/>
        <v>7952.6376248122297</v>
      </c>
    </row>
    <row r="152" spans="1:31" ht="101.25" x14ac:dyDescent="0.3">
      <c r="A152" s="74"/>
      <c r="B152" s="1092"/>
      <c r="C152" s="1104" t="s">
        <v>138</v>
      </c>
      <c r="D152" s="1122" t="s">
        <v>139</v>
      </c>
      <c r="E152" s="1244"/>
      <c r="F152" s="1245">
        <v>10000</v>
      </c>
      <c r="G152" s="1245"/>
      <c r="H152" s="1243">
        <f t="shared" si="95"/>
        <v>10000</v>
      </c>
      <c r="I152" s="1236" t="s">
        <v>140</v>
      </c>
      <c r="J152" s="1235" t="s">
        <v>993</v>
      </c>
      <c r="K152" s="1644">
        <v>40</v>
      </c>
      <c r="L152" s="1235">
        <f>H152/40</f>
        <v>250</v>
      </c>
      <c r="M152" s="1235">
        <f t="shared" si="96"/>
        <v>220.90660068922861</v>
      </c>
      <c r="N152" s="1235">
        <f t="shared" si="97"/>
        <v>10000</v>
      </c>
      <c r="O152" s="1463">
        <f t="shared" si="98"/>
        <v>8836.2640275691447</v>
      </c>
      <c r="P152" s="1526"/>
      <c r="Q152" s="1527"/>
      <c r="R152" s="1527"/>
      <c r="S152" s="1527"/>
      <c r="T152" s="1487">
        <f t="shared" si="99"/>
        <v>0</v>
      </c>
      <c r="U152" s="1490"/>
      <c r="V152" s="1407"/>
      <c r="W152" s="1451">
        <f t="shared" si="101"/>
        <v>0</v>
      </c>
      <c r="X152" s="1407">
        <f t="shared" si="102"/>
        <v>-10000</v>
      </c>
      <c r="Y152" s="1408">
        <f t="shared" si="103"/>
        <v>-8836.2640275691447</v>
      </c>
      <c r="Z152" s="1391" t="s">
        <v>993</v>
      </c>
      <c r="AA152" s="1644"/>
      <c r="AB152" s="1235"/>
      <c r="AC152" s="1235"/>
      <c r="AD152" s="1235"/>
      <c r="AE152" s="1257">
        <f t="shared" si="106"/>
        <v>0</v>
      </c>
    </row>
    <row r="153" spans="1:31" ht="81" x14ac:dyDescent="0.3">
      <c r="A153" s="74"/>
      <c r="B153" s="63"/>
      <c r="C153" s="453" t="s">
        <v>141</v>
      </c>
      <c r="D153" s="1110" t="s">
        <v>601</v>
      </c>
      <c r="E153" s="1244">
        <f>13000</f>
        <v>13000</v>
      </c>
      <c r="F153" s="1245"/>
      <c r="G153" s="1245"/>
      <c r="H153" s="1243">
        <f t="shared" si="95"/>
        <v>13000</v>
      </c>
      <c r="I153" s="1236" t="s">
        <v>142</v>
      </c>
      <c r="J153" s="1235" t="s">
        <v>1001</v>
      </c>
      <c r="K153" s="1644">
        <v>32</v>
      </c>
      <c r="L153" s="1235">
        <f>H153/32</f>
        <v>406.25</v>
      </c>
      <c r="M153" s="1235">
        <f t="shared" si="96"/>
        <v>358.97322611999647</v>
      </c>
      <c r="N153" s="1235">
        <f t="shared" si="97"/>
        <v>13000</v>
      </c>
      <c r="O153" s="1463">
        <f t="shared" si="98"/>
        <v>11487.143235839887</v>
      </c>
      <c r="P153" s="1488"/>
      <c r="Q153" s="1489">
        <v>6500</v>
      </c>
      <c r="R153" s="1489">
        <v>4523</v>
      </c>
      <c r="S153" s="1489"/>
      <c r="T153" s="1487">
        <f t="shared" si="99"/>
        <v>11023</v>
      </c>
      <c r="U153" s="1490" t="s">
        <v>602</v>
      </c>
      <c r="V153" s="1407">
        <f>P153+Q153+R153+S153</f>
        <v>11023</v>
      </c>
      <c r="W153" s="1451">
        <f t="shared" si="101"/>
        <v>9740.2138375894683</v>
      </c>
      <c r="X153" s="1407">
        <f t="shared" si="102"/>
        <v>-1977</v>
      </c>
      <c r="Y153" s="1408">
        <f t="shared" si="103"/>
        <v>-1746.9293982504187</v>
      </c>
      <c r="Z153" s="1391" t="s">
        <v>1001</v>
      </c>
      <c r="AA153" s="1644">
        <v>2</v>
      </c>
      <c r="AB153" s="1235">
        <f>V153/2</f>
        <v>5511.5</v>
      </c>
      <c r="AC153" s="1235">
        <f t="shared" si="104"/>
        <v>4870.1069187947342</v>
      </c>
      <c r="AD153" s="1235">
        <f t="shared" si="109"/>
        <v>11023</v>
      </c>
      <c r="AE153" s="1257">
        <f t="shared" si="106"/>
        <v>9740.2138375894683</v>
      </c>
    </row>
    <row r="154" spans="1:31" ht="81" x14ac:dyDescent="0.3">
      <c r="A154" s="57"/>
      <c r="B154" s="138"/>
      <c r="C154" s="324" t="s">
        <v>143</v>
      </c>
      <c r="D154" s="1110" t="s">
        <v>144</v>
      </c>
      <c r="E154" s="1244"/>
      <c r="F154" s="1245">
        <f>10000</f>
        <v>10000</v>
      </c>
      <c r="G154" s="1245"/>
      <c r="H154" s="1243">
        <f t="shared" si="95"/>
        <v>10000</v>
      </c>
      <c r="I154" s="1237" t="s">
        <v>145</v>
      </c>
      <c r="J154" s="1235" t="s">
        <v>993</v>
      </c>
      <c r="K154" s="1644">
        <v>26</v>
      </c>
      <c r="L154" s="1235">
        <f>H154/26</f>
        <v>384.61538461538464</v>
      </c>
      <c r="M154" s="1235">
        <f t="shared" si="96"/>
        <v>339.8563087526594</v>
      </c>
      <c r="N154" s="1235">
        <f t="shared" si="97"/>
        <v>10000</v>
      </c>
      <c r="O154" s="1463">
        <f t="shared" si="98"/>
        <v>8836.2640275691447</v>
      </c>
      <c r="P154" s="1488"/>
      <c r="Q154" s="1489">
        <v>0</v>
      </c>
      <c r="R154" s="1489">
        <v>3120</v>
      </c>
      <c r="S154" s="1489"/>
      <c r="T154" s="1487">
        <f t="shared" si="99"/>
        <v>3120</v>
      </c>
      <c r="U154" s="1490" t="s">
        <v>603</v>
      </c>
      <c r="V154" s="1407">
        <f>P154+Q154+R154+S154</f>
        <v>3120</v>
      </c>
      <c r="W154" s="1451">
        <f t="shared" si="101"/>
        <v>2756.9143766015732</v>
      </c>
      <c r="X154" s="1407">
        <f t="shared" si="102"/>
        <v>-6880</v>
      </c>
      <c r="Y154" s="1408">
        <f t="shared" si="103"/>
        <v>-6079.3496509675715</v>
      </c>
      <c r="Z154" s="1391" t="s">
        <v>993</v>
      </c>
      <c r="AA154" s="1644">
        <v>1</v>
      </c>
      <c r="AB154" s="1235">
        <f>V154/1</f>
        <v>3120</v>
      </c>
      <c r="AC154" s="1235">
        <f t="shared" si="104"/>
        <v>2756.9143766015732</v>
      </c>
      <c r="AD154" s="1235">
        <f t="shared" si="105"/>
        <v>3120</v>
      </c>
      <c r="AE154" s="1257">
        <f t="shared" si="106"/>
        <v>2756.9143766015732</v>
      </c>
    </row>
    <row r="155" spans="1:31" ht="141.75" x14ac:dyDescent="0.3">
      <c r="A155" s="57"/>
      <c r="B155" s="63"/>
      <c r="C155" s="325" t="s">
        <v>146</v>
      </c>
      <c r="D155" s="1095" t="s">
        <v>604</v>
      </c>
      <c r="E155" s="1244">
        <f>10000</f>
        <v>10000</v>
      </c>
      <c r="F155" s="1245">
        <f>10000</f>
        <v>10000</v>
      </c>
      <c r="G155" s="1245"/>
      <c r="H155" s="1243">
        <f t="shared" si="95"/>
        <v>20000</v>
      </c>
      <c r="I155" s="1237" t="s">
        <v>1006</v>
      </c>
      <c r="J155" s="1235" t="s">
        <v>1007</v>
      </c>
      <c r="K155" s="1644">
        <v>6</v>
      </c>
      <c r="L155" s="1235">
        <f>H155/6</f>
        <v>3333.3333333333335</v>
      </c>
      <c r="M155" s="1235">
        <f t="shared" si="96"/>
        <v>2945.4213425230482</v>
      </c>
      <c r="N155" s="1235">
        <f t="shared" si="97"/>
        <v>20000</v>
      </c>
      <c r="O155" s="1463">
        <f t="shared" si="98"/>
        <v>17672.528055138289</v>
      </c>
      <c r="P155" s="1488"/>
      <c r="Q155" s="1489">
        <f>24322</f>
        <v>24322</v>
      </c>
      <c r="R155" s="1489">
        <v>3203</v>
      </c>
      <c r="S155" s="1489"/>
      <c r="T155" s="1487">
        <f t="shared" si="99"/>
        <v>27525</v>
      </c>
      <c r="U155" s="1490" t="s">
        <v>1052</v>
      </c>
      <c r="V155" s="1407">
        <f>P155+Q155+R155+S155</f>
        <v>27525</v>
      </c>
      <c r="W155" s="1451">
        <f t="shared" si="101"/>
        <v>24321.816735884069</v>
      </c>
      <c r="X155" s="1407">
        <f t="shared" si="102"/>
        <v>7525</v>
      </c>
      <c r="Y155" s="1408">
        <f t="shared" si="103"/>
        <v>6649.2886807457799</v>
      </c>
      <c r="Z155" s="1391" t="s">
        <v>1007</v>
      </c>
      <c r="AA155" s="1644">
        <v>26</v>
      </c>
      <c r="AB155" s="1235">
        <f>V155/26</f>
        <v>1058.6538461538462</v>
      </c>
      <c r="AC155" s="1235">
        <f t="shared" si="104"/>
        <v>935.45448984169502</v>
      </c>
      <c r="AD155" s="1235">
        <f t="shared" si="105"/>
        <v>27525</v>
      </c>
      <c r="AE155" s="1257">
        <f t="shared" si="106"/>
        <v>24321.816735884069</v>
      </c>
    </row>
    <row r="156" spans="1:31" ht="60.75" x14ac:dyDescent="0.3">
      <c r="A156" s="74"/>
      <c r="B156" s="1092"/>
      <c r="C156" s="325" t="s">
        <v>147</v>
      </c>
      <c r="D156" s="1095" t="s">
        <v>148</v>
      </c>
      <c r="E156" s="1244"/>
      <c r="F156" s="1245">
        <f>10000</f>
        <v>10000</v>
      </c>
      <c r="G156" s="1245">
        <f>10000</f>
        <v>10000</v>
      </c>
      <c r="H156" s="1243">
        <f t="shared" si="95"/>
        <v>20000</v>
      </c>
      <c r="I156" s="1237" t="s">
        <v>149</v>
      </c>
      <c r="J156" s="1235" t="s">
        <v>1009</v>
      </c>
      <c r="K156" s="1644">
        <v>10</v>
      </c>
      <c r="L156" s="1235">
        <f>H156/10</f>
        <v>2000</v>
      </c>
      <c r="M156" s="1235">
        <f t="shared" si="96"/>
        <v>1767.2528055138289</v>
      </c>
      <c r="N156" s="1235">
        <f t="shared" si="97"/>
        <v>20000</v>
      </c>
      <c r="O156" s="1463">
        <f t="shared" si="98"/>
        <v>17672.528055138289</v>
      </c>
      <c r="P156" s="1488"/>
      <c r="Q156" s="1489"/>
      <c r="R156" s="1489"/>
      <c r="S156" s="1489"/>
      <c r="T156" s="1487">
        <f t="shared" si="99"/>
        <v>0</v>
      </c>
      <c r="U156" s="1490"/>
      <c r="V156" s="1407"/>
      <c r="W156" s="1451">
        <f t="shared" si="101"/>
        <v>0</v>
      </c>
      <c r="X156" s="1407">
        <f t="shared" si="102"/>
        <v>-20000</v>
      </c>
      <c r="Y156" s="1408">
        <f t="shared" si="103"/>
        <v>-17672.528055138289</v>
      </c>
      <c r="Z156" s="1391" t="s">
        <v>1009</v>
      </c>
      <c r="AA156" s="1644"/>
      <c r="AB156" s="1235"/>
      <c r="AC156" s="1235"/>
      <c r="AD156" s="1235"/>
      <c r="AE156" s="1257">
        <f t="shared" si="106"/>
        <v>0</v>
      </c>
    </row>
    <row r="157" spans="1:31" ht="60.75" x14ac:dyDescent="0.3">
      <c r="A157" s="57"/>
      <c r="B157" s="1092"/>
      <c r="C157" s="1103" t="s">
        <v>150</v>
      </c>
      <c r="D157" s="1767" t="s">
        <v>605</v>
      </c>
      <c r="E157" s="1244"/>
      <c r="F157" s="1245">
        <f>61395</f>
        <v>61395</v>
      </c>
      <c r="G157" s="1245"/>
      <c r="H157" s="1243">
        <f t="shared" si="95"/>
        <v>61395</v>
      </c>
      <c r="I157" s="1237" t="s">
        <v>151</v>
      </c>
      <c r="J157" s="1235" t="s">
        <v>1009</v>
      </c>
      <c r="K157" s="1644">
        <v>220</v>
      </c>
      <c r="L157" s="1235">
        <f>H157/220</f>
        <v>279.06818181818181</v>
      </c>
      <c r="M157" s="1235">
        <f t="shared" si="96"/>
        <v>246.59201362391255</v>
      </c>
      <c r="N157" s="1235">
        <f t="shared" si="97"/>
        <v>61395</v>
      </c>
      <c r="O157" s="1463">
        <f t="shared" si="98"/>
        <v>54250.242997260764</v>
      </c>
      <c r="P157" s="1488">
        <v>10290</v>
      </c>
      <c r="Q157" s="1489">
        <v>0</v>
      </c>
      <c r="R157" s="1489"/>
      <c r="S157" s="1489"/>
      <c r="T157" s="1487">
        <f t="shared" si="99"/>
        <v>10290</v>
      </c>
      <c r="U157" s="1490" t="s">
        <v>606</v>
      </c>
      <c r="V157" s="1407">
        <f>P157+Q157+R157+S157</f>
        <v>10290</v>
      </c>
      <c r="W157" s="1451">
        <f t="shared" si="101"/>
        <v>9092.5156843686491</v>
      </c>
      <c r="X157" s="1407">
        <f t="shared" si="102"/>
        <v>-51105</v>
      </c>
      <c r="Y157" s="1408">
        <f t="shared" si="103"/>
        <v>-45157.727312892115</v>
      </c>
      <c r="Z157" s="1391" t="s">
        <v>1009</v>
      </c>
      <c r="AA157" s="1644">
        <v>12</v>
      </c>
      <c r="AB157" s="1235">
        <f>V157/12</f>
        <v>857.5</v>
      </c>
      <c r="AC157" s="1235">
        <f t="shared" si="104"/>
        <v>757.70964036405417</v>
      </c>
      <c r="AD157" s="1235">
        <f t="shared" si="105"/>
        <v>10290</v>
      </c>
      <c r="AE157" s="1257">
        <f t="shared" si="106"/>
        <v>9092.5156843686491</v>
      </c>
    </row>
    <row r="158" spans="1:31" ht="60.75" x14ac:dyDescent="0.3">
      <c r="A158" s="224"/>
      <c r="B158" s="1092"/>
      <c r="C158" s="1102" t="s">
        <v>152</v>
      </c>
      <c r="D158" s="1101" t="s">
        <v>153</v>
      </c>
      <c r="E158" s="1244"/>
      <c r="F158" s="1245">
        <f>26400</f>
        <v>26400</v>
      </c>
      <c r="G158" s="1245"/>
      <c r="H158" s="1243">
        <f t="shared" si="95"/>
        <v>26400</v>
      </c>
      <c r="I158" s="1237" t="s">
        <v>154</v>
      </c>
      <c r="J158" s="1235" t="s">
        <v>1009</v>
      </c>
      <c r="K158" s="1644">
        <v>10</v>
      </c>
      <c r="L158" s="1235">
        <f>H158/10</f>
        <v>2640</v>
      </c>
      <c r="M158" s="1235">
        <f t="shared" si="96"/>
        <v>2332.7737032782543</v>
      </c>
      <c r="N158" s="1235">
        <f t="shared" si="97"/>
        <v>26400</v>
      </c>
      <c r="O158" s="1463">
        <f t="shared" si="98"/>
        <v>23327.737032782541</v>
      </c>
      <c r="P158" s="1488"/>
      <c r="Q158" s="1489"/>
      <c r="R158" s="1489"/>
      <c r="S158" s="1489"/>
      <c r="T158" s="1487">
        <f t="shared" si="99"/>
        <v>0</v>
      </c>
      <c r="U158" s="1490"/>
      <c r="V158" s="1407"/>
      <c r="W158" s="1451">
        <f t="shared" si="101"/>
        <v>0</v>
      </c>
      <c r="X158" s="1407">
        <f t="shared" si="102"/>
        <v>-26400</v>
      </c>
      <c r="Y158" s="1408">
        <f t="shared" si="103"/>
        <v>-23327.737032782541</v>
      </c>
      <c r="Z158" s="1391" t="s">
        <v>1009</v>
      </c>
      <c r="AA158" s="1644"/>
      <c r="AB158" s="1235"/>
      <c r="AC158" s="1235"/>
      <c r="AD158" s="1235"/>
      <c r="AE158" s="1257">
        <f t="shared" si="106"/>
        <v>0</v>
      </c>
    </row>
    <row r="159" spans="1:31" ht="60.75" x14ac:dyDescent="0.3">
      <c r="A159" s="57"/>
      <c r="B159" s="63"/>
      <c r="C159" s="453" t="s">
        <v>486</v>
      </c>
      <c r="D159" s="1110" t="s">
        <v>674</v>
      </c>
      <c r="E159" s="1244"/>
      <c r="F159" s="1245"/>
      <c r="G159" s="1245"/>
      <c r="H159" s="1243">
        <f t="shared" si="95"/>
        <v>0</v>
      </c>
      <c r="I159" s="1237"/>
      <c r="J159" s="1235"/>
      <c r="K159" s="1644">
        <v>0</v>
      </c>
      <c r="L159" s="1235">
        <f t="shared" si="107"/>
        <v>0</v>
      </c>
      <c r="M159" s="1235">
        <f t="shared" si="96"/>
        <v>0</v>
      </c>
      <c r="N159" s="1235">
        <f t="shared" si="97"/>
        <v>0</v>
      </c>
      <c r="O159" s="1463">
        <f t="shared" si="98"/>
        <v>0</v>
      </c>
      <c r="P159" s="1526"/>
      <c r="Q159" s="1527"/>
      <c r="R159" s="1527"/>
      <c r="S159" s="1527">
        <f>2500</f>
        <v>2500</v>
      </c>
      <c r="T159" s="1487">
        <f t="shared" si="99"/>
        <v>2500</v>
      </c>
      <c r="U159" s="1490" t="s">
        <v>675</v>
      </c>
      <c r="V159" s="1407">
        <f>P159+Q159+R159+S159</f>
        <v>2500</v>
      </c>
      <c r="W159" s="1451">
        <f t="shared" si="101"/>
        <v>2209.0660068922862</v>
      </c>
      <c r="X159" s="1407">
        <f t="shared" si="102"/>
        <v>2500</v>
      </c>
      <c r="Y159" s="1408">
        <f t="shared" si="103"/>
        <v>2209.0660068922862</v>
      </c>
      <c r="Z159" s="1391"/>
      <c r="AA159" s="1644">
        <v>35</v>
      </c>
      <c r="AB159" s="1235">
        <f>V159/35</f>
        <v>71.428571428571431</v>
      </c>
      <c r="AC159" s="1235">
        <f t="shared" si="104"/>
        <v>63.116171625493891</v>
      </c>
      <c r="AD159" s="1235">
        <f t="shared" si="105"/>
        <v>2500</v>
      </c>
      <c r="AE159" s="1257">
        <f t="shared" si="106"/>
        <v>2209.0660068922862</v>
      </c>
    </row>
    <row r="160" spans="1:31" ht="60.75" x14ac:dyDescent="0.3">
      <c r="A160" s="57"/>
      <c r="B160" s="204"/>
      <c r="C160" s="324" t="s">
        <v>487</v>
      </c>
      <c r="D160" s="1110" t="s">
        <v>488</v>
      </c>
      <c r="E160" s="1244"/>
      <c r="F160" s="1245"/>
      <c r="G160" s="1245"/>
      <c r="H160" s="1243">
        <f t="shared" si="95"/>
        <v>0</v>
      </c>
      <c r="I160" s="1237"/>
      <c r="J160" s="1235"/>
      <c r="K160" s="1644">
        <v>0</v>
      </c>
      <c r="L160" s="1235">
        <f t="shared" si="107"/>
        <v>0</v>
      </c>
      <c r="M160" s="1235">
        <f t="shared" si="96"/>
        <v>0</v>
      </c>
      <c r="N160" s="1235">
        <f t="shared" si="97"/>
        <v>0</v>
      </c>
      <c r="O160" s="1463">
        <f t="shared" si="98"/>
        <v>0</v>
      </c>
      <c r="P160" s="1488"/>
      <c r="Q160" s="1489"/>
      <c r="R160" s="1527">
        <v>6455</v>
      </c>
      <c r="S160" s="1489"/>
      <c r="T160" s="1487">
        <f t="shared" si="99"/>
        <v>6455</v>
      </c>
      <c r="U160" s="1490" t="s">
        <v>1053</v>
      </c>
      <c r="V160" s="1407">
        <f>P160+Q160+R160+S160</f>
        <v>6455</v>
      </c>
      <c r="W160" s="1451">
        <f t="shared" si="101"/>
        <v>5703.8084297958831</v>
      </c>
      <c r="X160" s="1407">
        <f t="shared" si="102"/>
        <v>6455</v>
      </c>
      <c r="Y160" s="1408">
        <f t="shared" si="103"/>
        <v>5703.8084297958831</v>
      </c>
      <c r="Z160" s="1391"/>
      <c r="AA160" s="1644">
        <v>5</v>
      </c>
      <c r="AB160" s="1235">
        <f>V160/5</f>
        <v>1291</v>
      </c>
      <c r="AC160" s="1235">
        <f t="shared" si="104"/>
        <v>1140.7616859591765</v>
      </c>
      <c r="AD160" s="1235">
        <f t="shared" ref="AD160" si="110">AA160*AB160</f>
        <v>6455</v>
      </c>
      <c r="AE160" s="1257">
        <f t="shared" si="106"/>
        <v>5703.8084297958831</v>
      </c>
    </row>
    <row r="161" spans="1:33" ht="29.25" customHeight="1" thickBot="1" x14ac:dyDescent="0.35">
      <c r="A161" s="57"/>
      <c r="B161" s="66"/>
      <c r="C161" s="755"/>
      <c r="D161" s="1114"/>
      <c r="E161" s="1246"/>
      <c r="F161" s="1247"/>
      <c r="G161" s="1247"/>
      <c r="H161" s="1248"/>
      <c r="I161" s="1237"/>
      <c r="J161" s="1249"/>
      <c r="K161" s="1645"/>
      <c r="L161" s="1249"/>
      <c r="M161" s="1249"/>
      <c r="N161" s="1249"/>
      <c r="O161" s="1464"/>
      <c r="P161" s="1492"/>
      <c r="Q161" s="1493"/>
      <c r="R161" s="1493"/>
      <c r="S161" s="1493"/>
      <c r="T161" s="1487"/>
      <c r="U161" s="1494"/>
      <c r="V161" s="1409"/>
      <c r="W161" s="1410"/>
      <c r="X161" s="1409"/>
      <c r="Y161" s="1410"/>
      <c r="Z161" s="1392"/>
      <c r="AA161" s="1645"/>
      <c r="AB161" s="1249"/>
      <c r="AC161" s="1249"/>
      <c r="AD161" s="1249"/>
      <c r="AE161" s="1249"/>
    </row>
    <row r="162" spans="1:33" ht="30.75" customHeight="1" thickBot="1" x14ac:dyDescent="0.35">
      <c r="A162" s="72"/>
      <c r="B162" s="153" t="s">
        <v>45</v>
      </c>
      <c r="C162" s="753"/>
      <c r="D162" s="1121">
        <f>SUM(D144:D153)</f>
        <v>0</v>
      </c>
      <c r="E162" s="1176">
        <f>SUM(E133:E160)</f>
        <v>200000</v>
      </c>
      <c r="F162" s="1177">
        <f t="shared" ref="F162:H162" si="111">SUM(F133:F160)</f>
        <v>282125</v>
      </c>
      <c r="G162" s="1177">
        <f t="shared" si="111"/>
        <v>17875</v>
      </c>
      <c r="H162" s="1178">
        <f t="shared" si="111"/>
        <v>500000</v>
      </c>
      <c r="I162" s="757"/>
      <c r="J162" s="757"/>
      <c r="K162" s="1646"/>
      <c r="L162" s="757"/>
      <c r="M162" s="757"/>
      <c r="N162" s="757">
        <f t="shared" ref="N162" si="112">SUM(N133:N160)</f>
        <v>500000</v>
      </c>
      <c r="O162" s="1474">
        <f>SUM(O133:O160)-0.2</f>
        <v>441813.00137845724</v>
      </c>
      <c r="P162" s="1426">
        <f>SUM(P133:P161)</f>
        <v>75390</v>
      </c>
      <c r="Q162" s="1525">
        <f>SUM(Q133:Q161)</f>
        <v>244014.33000000002</v>
      </c>
      <c r="R162" s="1525">
        <f>SUM(R133:R161)</f>
        <v>56021</v>
      </c>
      <c r="S162" s="1525">
        <f>SUM(S133:S161)</f>
        <v>64825</v>
      </c>
      <c r="T162" s="1525">
        <f>SUM(T133:T161)</f>
        <v>440250.33</v>
      </c>
      <c r="U162" s="1427">
        <f>SUM(U133:U160)</f>
        <v>0</v>
      </c>
      <c r="V162" s="1426">
        <f>SUM(V133:V161)</f>
        <v>440250.33</v>
      </c>
      <c r="W162" s="1427">
        <f>SUM(W133:W161)</f>
        <v>389016.81541044457</v>
      </c>
      <c r="X162" s="1426">
        <f>SUM(X133:X161)</f>
        <v>-59749.67</v>
      </c>
      <c r="Y162" s="1427">
        <f>SUM(Y133:Y161)</f>
        <v>-52796.385968012735</v>
      </c>
      <c r="Z162" s="1300"/>
      <c r="AA162" s="1646">
        <f>SUM(AA133:AA161)</f>
        <v>1520</v>
      </c>
      <c r="AB162" s="757">
        <f>SUM(AB133:AB161)</f>
        <v>51537.033956043961</v>
      </c>
      <c r="AC162" s="757">
        <f>SUM(AC133:AC161)</f>
        <v>45539.483923340085</v>
      </c>
      <c r="AD162" s="757">
        <f>SUM(AD133:AD161)</f>
        <v>440250.33</v>
      </c>
      <c r="AE162" s="757">
        <f>SUM(AE133:AE161)</f>
        <v>389016.81541044457</v>
      </c>
      <c r="AG162" s="1666"/>
    </row>
    <row r="163" spans="1:33" ht="45" customHeight="1" x14ac:dyDescent="0.3">
      <c r="A163" s="57"/>
      <c r="B163" s="1313"/>
      <c r="C163" s="1314"/>
      <c r="D163" s="1315" t="s">
        <v>1031</v>
      </c>
      <c r="E163" s="1316"/>
      <c r="F163" s="1317"/>
      <c r="G163" s="1317"/>
      <c r="H163" s="1318"/>
      <c r="I163" s="1319"/>
      <c r="J163" s="1320"/>
      <c r="K163" s="1647"/>
      <c r="L163" s="1320"/>
      <c r="M163" s="1320"/>
      <c r="N163" s="1320">
        <f>N112+N123+N130+N162</f>
        <v>903450.5</v>
      </c>
      <c r="O163" s="1475">
        <f>O112+O123+O130+O162</f>
        <v>798312.99538393575</v>
      </c>
      <c r="P163" s="1528"/>
      <c r="Q163" s="1529"/>
      <c r="R163" s="1529"/>
      <c r="S163" s="1529"/>
      <c r="T163" s="1530">
        <f>T112+T123+T130+T162</f>
        <v>1394439.33</v>
      </c>
      <c r="U163" s="1429"/>
      <c r="V163" s="1428">
        <f>V112+V123+V130+V162</f>
        <v>1394439.33</v>
      </c>
      <c r="W163" s="1429">
        <f>W112+W123+W130+W162</f>
        <v>1232163.4090306619</v>
      </c>
      <c r="X163" s="1428">
        <f>X112+X123+X130+X162</f>
        <v>508988.83</v>
      </c>
      <c r="Y163" s="1429">
        <f>Y112+Y123+Y130+Y162</f>
        <v>449755.96889635071</v>
      </c>
      <c r="Z163" s="1393"/>
      <c r="AA163" s="1647"/>
      <c r="AB163" s="1320"/>
      <c r="AC163" s="1320"/>
      <c r="AD163" s="1320">
        <f>AD112+AD123+AD130+AD162</f>
        <v>1394439.33</v>
      </c>
      <c r="AE163" s="1320">
        <f>AE112+AE123+AE130+AE162</f>
        <v>1232163.4090306619</v>
      </c>
    </row>
    <row r="164" spans="1:33" ht="20.25" x14ac:dyDescent="0.3">
      <c r="A164" s="57"/>
      <c r="B164" s="154"/>
      <c r="C164" s="132"/>
      <c r="D164" s="1110"/>
      <c r="E164" s="1150"/>
      <c r="F164" s="1151"/>
      <c r="G164" s="1151"/>
      <c r="H164" s="1152"/>
      <c r="I164" s="735"/>
      <c r="J164" s="735"/>
      <c r="K164" s="1633"/>
      <c r="L164" s="735"/>
      <c r="M164" s="735"/>
      <c r="N164" s="735"/>
      <c r="O164" s="1468"/>
      <c r="P164" s="1405"/>
      <c r="Q164" s="1487"/>
      <c r="R164" s="1487"/>
      <c r="S164" s="1487"/>
      <c r="T164" s="1487"/>
      <c r="U164" s="1416"/>
      <c r="V164" s="1415"/>
      <c r="W164" s="1452"/>
      <c r="X164" s="1415"/>
      <c r="Y164" s="1416"/>
      <c r="Z164" s="1389"/>
      <c r="AA164" s="1633"/>
      <c r="AB164" s="735"/>
      <c r="AC164" s="735"/>
      <c r="AD164" s="735"/>
      <c r="AE164" s="735"/>
    </row>
    <row r="165" spans="1:33" ht="30" customHeight="1" x14ac:dyDescent="0.3">
      <c r="A165" s="57"/>
      <c r="B165" s="145" t="s">
        <v>156</v>
      </c>
      <c r="C165" s="155"/>
      <c r="D165" s="1116"/>
      <c r="E165" s="1155"/>
      <c r="F165" s="1156"/>
      <c r="G165" s="1156"/>
      <c r="H165" s="1157"/>
      <c r="I165" s="735"/>
      <c r="J165" s="735"/>
      <c r="K165" s="1633"/>
      <c r="L165" s="735"/>
      <c r="M165" s="735"/>
      <c r="N165" s="735"/>
      <c r="O165" s="1468"/>
      <c r="P165" s="1405"/>
      <c r="Q165" s="1487"/>
      <c r="R165" s="1487"/>
      <c r="S165" s="1487"/>
      <c r="T165" s="1487"/>
      <c r="U165" s="1416"/>
      <c r="V165" s="1415"/>
      <c r="W165" s="1452"/>
      <c r="X165" s="1415"/>
      <c r="Y165" s="1416"/>
      <c r="Z165" s="1389"/>
      <c r="AA165" s="1633"/>
      <c r="AB165" s="735"/>
      <c r="AC165" s="735"/>
      <c r="AD165" s="735"/>
      <c r="AE165" s="735"/>
    </row>
    <row r="166" spans="1:33" ht="89.25" customHeight="1" x14ac:dyDescent="0.3">
      <c r="A166" s="70">
        <v>3.1</v>
      </c>
      <c r="B166" s="2728" t="s">
        <v>157</v>
      </c>
      <c r="C166" s="2756"/>
      <c r="D166" s="2727"/>
      <c r="E166" s="1238"/>
      <c r="F166" s="1239"/>
      <c r="G166" s="1239"/>
      <c r="H166" s="1240"/>
      <c r="I166" s="1250"/>
      <c r="J166" s="1250"/>
      <c r="K166" s="1648"/>
      <c r="L166" s="1250"/>
      <c r="M166" s="1250"/>
      <c r="N166" s="1250"/>
      <c r="O166" s="1469"/>
      <c r="P166" s="1405"/>
      <c r="Q166" s="1487"/>
      <c r="R166" s="1487"/>
      <c r="S166" s="1487"/>
      <c r="T166" s="1487"/>
      <c r="U166" s="1422"/>
      <c r="V166" s="1421"/>
      <c r="W166" s="1454"/>
      <c r="X166" s="1421"/>
      <c r="Y166" s="1422"/>
      <c r="Z166" s="1394"/>
      <c r="AA166" s="1660"/>
      <c r="AB166" s="1251"/>
      <c r="AC166" s="1251"/>
      <c r="AD166" s="1251"/>
      <c r="AE166" s="1251"/>
    </row>
    <row r="167" spans="1:33" ht="141.75" x14ac:dyDescent="0.3">
      <c r="A167" s="57"/>
      <c r="B167" s="170"/>
      <c r="C167" s="336" t="s">
        <v>158</v>
      </c>
      <c r="D167" s="1117" t="s">
        <v>549</v>
      </c>
      <c r="E167" s="1258">
        <f>128125</f>
        <v>128125</v>
      </c>
      <c r="F167" s="1259"/>
      <c r="G167" s="1259"/>
      <c r="H167" s="1260">
        <f>SUM(E167:G167)</f>
        <v>128125</v>
      </c>
      <c r="I167" s="1261" t="s">
        <v>337</v>
      </c>
      <c r="J167" s="1257" t="s">
        <v>1010</v>
      </c>
      <c r="K167" s="1624">
        <v>5</v>
      </c>
      <c r="L167" s="1257">
        <f>H167/5</f>
        <v>25625</v>
      </c>
      <c r="M167" s="1257">
        <f>L167/1.1317</f>
        <v>22642.926570645934</v>
      </c>
      <c r="N167" s="1257">
        <f t="shared" ref="N167" si="113">K167*L167</f>
        <v>128125</v>
      </c>
      <c r="O167" s="1463">
        <f t="shared" ref="O167" si="114">N167/1.1317</f>
        <v>113214.63285322966</v>
      </c>
      <c r="P167" s="1488">
        <v>119000</v>
      </c>
      <c r="Q167" s="1489">
        <v>15800</v>
      </c>
      <c r="R167" s="1489">
        <f>4000</f>
        <v>4000</v>
      </c>
      <c r="S167" s="1489"/>
      <c r="T167" s="1487">
        <f t="shared" ref="T167:T168" si="115">SUM(P167:S167)</f>
        <v>138800</v>
      </c>
      <c r="U167" s="1490" t="s">
        <v>889</v>
      </c>
      <c r="V167" s="1407">
        <f>P167+Q167+R167+S167</f>
        <v>138800</v>
      </c>
      <c r="W167" s="1451">
        <f t="shared" ref="W167:W168" si="116">V167/1.1317</f>
        <v>122647.34470265973</v>
      </c>
      <c r="X167" s="1407">
        <f>V167-N167</f>
        <v>10675</v>
      </c>
      <c r="Y167" s="1408">
        <f>W167-O167</f>
        <v>9432.7118494300666</v>
      </c>
      <c r="Z167" s="1391" t="s">
        <v>1010</v>
      </c>
      <c r="AA167" s="1624">
        <v>6</v>
      </c>
      <c r="AB167" s="1257">
        <f>V167/6</f>
        <v>23133.333333333332</v>
      </c>
      <c r="AC167" s="1257">
        <f>AB167/1.1317</f>
        <v>20441.224117109952</v>
      </c>
      <c r="AD167" s="1257">
        <f t="shared" si="105"/>
        <v>138800</v>
      </c>
      <c r="AE167" s="1257">
        <f t="shared" ref="AE167:AE168" si="117">AD167/1.1317</f>
        <v>122647.34470265973</v>
      </c>
    </row>
    <row r="168" spans="1:33" ht="60.75" x14ac:dyDescent="0.3">
      <c r="A168" s="74"/>
      <c r="B168" s="204"/>
      <c r="C168" s="336" t="s">
        <v>489</v>
      </c>
      <c r="D168" s="1117" t="s">
        <v>490</v>
      </c>
      <c r="E168" s="1258"/>
      <c r="F168" s="1259"/>
      <c r="G168" s="1259"/>
      <c r="H168" s="1260"/>
      <c r="I168" s="1261"/>
      <c r="J168" s="1257"/>
      <c r="K168" s="1624"/>
      <c r="L168" s="1257"/>
      <c r="M168" s="1257"/>
      <c r="N168" s="1257"/>
      <c r="O168" s="1463"/>
      <c r="P168" s="1488"/>
      <c r="Q168" s="1489"/>
      <c r="R168" s="1489"/>
      <c r="S168" s="1489">
        <f>5000</f>
        <v>5000</v>
      </c>
      <c r="T168" s="1487">
        <f t="shared" si="115"/>
        <v>5000</v>
      </c>
      <c r="U168" s="1490" t="s">
        <v>761</v>
      </c>
      <c r="V168" s="1407">
        <f>P168+Q168+R168+S168</f>
        <v>5000</v>
      </c>
      <c r="W168" s="1451">
        <f t="shared" si="116"/>
        <v>4418.1320137845723</v>
      </c>
      <c r="X168" s="1407">
        <f>V168-N168</f>
        <v>5000</v>
      </c>
      <c r="Y168" s="1408">
        <f>W168-O168</f>
        <v>4418.1320137845723</v>
      </c>
      <c r="Z168" s="1391" t="s">
        <v>1064</v>
      </c>
      <c r="AA168" s="1624">
        <v>10</v>
      </c>
      <c r="AB168" s="1257">
        <f>V168/10</f>
        <v>500</v>
      </c>
      <c r="AC168" s="1257">
        <f>AB168/1.1317</f>
        <v>441.81320137845722</v>
      </c>
      <c r="AD168" s="1257">
        <f t="shared" si="105"/>
        <v>5000</v>
      </c>
      <c r="AE168" s="1257">
        <f t="shared" si="117"/>
        <v>4418.1320137845723</v>
      </c>
    </row>
    <row r="169" spans="1:33" ht="32.25" customHeight="1" thickBot="1" x14ac:dyDescent="0.35">
      <c r="A169" s="57"/>
      <c r="B169" s="63"/>
      <c r="C169" s="64"/>
      <c r="D169" s="1098"/>
      <c r="E169" s="1262"/>
      <c r="F169" s="1263"/>
      <c r="G169" s="1263"/>
      <c r="H169" s="1264"/>
      <c r="I169" s="1261"/>
      <c r="J169" s="1265"/>
      <c r="K169" s="1625"/>
      <c r="L169" s="1265"/>
      <c r="M169" s="1265"/>
      <c r="N169" s="1265"/>
      <c r="O169" s="1464"/>
      <c r="P169" s="1423"/>
      <c r="Q169" s="1518"/>
      <c r="R169" s="1518"/>
      <c r="S169" s="1518"/>
      <c r="T169" s="1518"/>
      <c r="U169" s="1424"/>
      <c r="V169" s="1409"/>
      <c r="W169" s="1410"/>
      <c r="X169" s="1409"/>
      <c r="Y169" s="1410"/>
      <c r="Z169" s="1392"/>
      <c r="AA169" s="1625"/>
      <c r="AB169" s="1265"/>
      <c r="AC169" s="1265"/>
      <c r="AD169" s="1265"/>
      <c r="AE169" s="1265"/>
    </row>
    <row r="170" spans="1:33" ht="32.25" customHeight="1" thickBot="1" x14ac:dyDescent="0.35">
      <c r="A170" s="57"/>
      <c r="B170" s="147" t="s">
        <v>45</v>
      </c>
      <c r="C170" s="753"/>
      <c r="D170" s="1121"/>
      <c r="E170" s="1176">
        <f>SUM(E167:E168)</f>
        <v>128125</v>
      </c>
      <c r="F170" s="1177">
        <f t="shared" ref="F170:H170" si="118">SUM(F167:F168)</f>
        <v>0</v>
      </c>
      <c r="G170" s="1177">
        <f t="shared" si="118"/>
        <v>0</v>
      </c>
      <c r="H170" s="1178">
        <f t="shared" si="118"/>
        <v>128125</v>
      </c>
      <c r="I170" s="754"/>
      <c r="J170" s="754"/>
      <c r="K170" s="1643"/>
      <c r="L170" s="754"/>
      <c r="M170" s="754"/>
      <c r="N170" s="754">
        <f t="shared" ref="N170" si="119">SUM(N167:N169)</f>
        <v>128125</v>
      </c>
      <c r="O170" s="1474">
        <f>SUM(O167:O169)+0.37</f>
        <v>113215.00285322966</v>
      </c>
      <c r="P170" s="1426">
        <f t="shared" ref="P170:AE170" si="120">SUM(P167:P169)</f>
        <v>119000</v>
      </c>
      <c r="Q170" s="1525">
        <f t="shared" si="120"/>
        <v>15800</v>
      </c>
      <c r="R170" s="1525">
        <f t="shared" si="120"/>
        <v>4000</v>
      </c>
      <c r="S170" s="1525">
        <f t="shared" si="120"/>
        <v>5000</v>
      </c>
      <c r="T170" s="1525">
        <f t="shared" si="120"/>
        <v>143800</v>
      </c>
      <c r="U170" s="1427">
        <f t="shared" si="120"/>
        <v>0</v>
      </c>
      <c r="V170" s="1426">
        <f t="shared" si="120"/>
        <v>143800</v>
      </c>
      <c r="W170" s="1427">
        <f t="shared" si="120"/>
        <v>127065.4767164443</v>
      </c>
      <c r="X170" s="1426">
        <f t="shared" si="120"/>
        <v>15675</v>
      </c>
      <c r="Y170" s="1427">
        <f t="shared" si="120"/>
        <v>13850.843863214639</v>
      </c>
      <c r="Z170" s="1300"/>
      <c r="AA170" s="1643"/>
      <c r="AB170" s="754">
        <f t="shared" si="120"/>
        <v>23633.333333333332</v>
      </c>
      <c r="AC170" s="754">
        <f t="shared" si="120"/>
        <v>20883.037318488408</v>
      </c>
      <c r="AD170" s="754">
        <f t="shared" si="120"/>
        <v>143800</v>
      </c>
      <c r="AE170" s="754">
        <f t="shared" si="120"/>
        <v>127065.4767164443</v>
      </c>
    </row>
    <row r="171" spans="1:33" ht="32.25" customHeight="1" x14ac:dyDescent="0.3">
      <c r="A171" s="224"/>
      <c r="B171" s="1321"/>
      <c r="C171" s="1322"/>
      <c r="D171" s="1323" t="s">
        <v>1032</v>
      </c>
      <c r="E171" s="1324"/>
      <c r="F171" s="1325"/>
      <c r="G171" s="1325"/>
      <c r="H171" s="1326"/>
      <c r="I171" s="1327"/>
      <c r="J171" s="1328"/>
      <c r="K171" s="1649"/>
      <c r="L171" s="1328"/>
      <c r="M171" s="1328"/>
      <c r="N171" s="1328">
        <f>SUM(N170)</f>
        <v>128125</v>
      </c>
      <c r="O171" s="1476">
        <f>SUM(O170)</f>
        <v>113215.00285322966</v>
      </c>
      <c r="P171" s="1430"/>
      <c r="Q171" s="1531"/>
      <c r="R171" s="1531"/>
      <c r="S171" s="1531"/>
      <c r="T171" s="1531">
        <f>SUM(T170)</f>
        <v>143800</v>
      </c>
      <c r="U171" s="1431"/>
      <c r="V171" s="1430">
        <f t="shared" ref="V171:Y171" si="121">SUM(V170)</f>
        <v>143800</v>
      </c>
      <c r="W171" s="1431">
        <f t="shared" si="121"/>
        <v>127065.4767164443</v>
      </c>
      <c r="X171" s="1430">
        <f t="shared" si="121"/>
        <v>15675</v>
      </c>
      <c r="Y171" s="1431">
        <f t="shared" si="121"/>
        <v>13850.843863214639</v>
      </c>
      <c r="Z171" s="1395"/>
      <c r="AA171" s="1649"/>
      <c r="AB171" s="1328"/>
      <c r="AC171" s="1328"/>
      <c r="AD171" s="1328">
        <f t="shared" ref="AD171" si="122">SUM(AD170)</f>
        <v>143800</v>
      </c>
      <c r="AE171" s="1328">
        <f t="shared" ref="AE171" si="123">SUM(AE170)</f>
        <v>127065.4767164443</v>
      </c>
    </row>
    <row r="172" spans="1:33" ht="17.25" customHeight="1" thickBot="1" x14ac:dyDescent="0.35">
      <c r="A172" s="57"/>
      <c r="B172" s="142"/>
      <c r="C172" s="64"/>
      <c r="D172" s="1119"/>
      <c r="E172" s="1170"/>
      <c r="F172" s="1171"/>
      <c r="G172" s="1171"/>
      <c r="H172" s="1172"/>
      <c r="I172" s="749"/>
      <c r="J172" s="749"/>
      <c r="K172" s="1650"/>
      <c r="L172" s="749"/>
      <c r="M172" s="749"/>
      <c r="N172" s="749"/>
      <c r="O172" s="1466"/>
      <c r="P172" s="1500"/>
      <c r="Q172" s="1304"/>
      <c r="R172" s="1304"/>
      <c r="S172" s="1304"/>
      <c r="T172" s="1304"/>
      <c r="U172" s="1414"/>
      <c r="V172" s="1413"/>
      <c r="W172" s="1442"/>
      <c r="X172" s="1413"/>
      <c r="Y172" s="1414"/>
      <c r="Z172" s="1384"/>
      <c r="AA172" s="1650"/>
      <c r="AB172" s="749"/>
      <c r="AC172" s="749"/>
      <c r="AD172" s="749"/>
      <c r="AE172" s="749"/>
    </row>
    <row r="173" spans="1:33" ht="41.25" customHeight="1" x14ac:dyDescent="0.3">
      <c r="A173" s="22">
        <v>4</v>
      </c>
      <c r="B173" s="156" t="s">
        <v>160</v>
      </c>
      <c r="C173" s="157"/>
      <c r="D173" s="1123"/>
      <c r="E173" s="1266"/>
      <c r="F173" s="1267"/>
      <c r="G173" s="1267"/>
      <c r="H173" s="1268"/>
      <c r="I173" s="1269"/>
      <c r="J173" s="1269"/>
      <c r="K173" s="1651"/>
      <c r="L173" s="1269"/>
      <c r="M173" s="1269"/>
      <c r="N173" s="1269"/>
      <c r="O173" s="1467"/>
      <c r="P173" s="1467"/>
      <c r="Q173" s="1661"/>
      <c r="R173" s="1662"/>
      <c r="S173" s="1662"/>
      <c r="T173" s="1662"/>
      <c r="U173" s="1454"/>
      <c r="V173" s="1421"/>
      <c r="W173" s="1454"/>
      <c r="X173" s="1421"/>
      <c r="Y173" s="1422"/>
      <c r="Z173" s="1390"/>
      <c r="AA173" s="1651"/>
      <c r="AB173" s="1269"/>
      <c r="AC173" s="1269"/>
      <c r="AD173" s="1269"/>
      <c r="AE173" s="1269"/>
    </row>
    <row r="174" spans="1:33" ht="95.25" customHeight="1" x14ac:dyDescent="0.3">
      <c r="A174" s="70">
        <v>4.0999999999999996</v>
      </c>
      <c r="B174" s="2728" t="s">
        <v>161</v>
      </c>
      <c r="C174" s="2756"/>
      <c r="D174" s="2727"/>
      <c r="E174" s="1254"/>
      <c r="F174" s="1255"/>
      <c r="G174" s="1255"/>
      <c r="H174" s="1256"/>
      <c r="I174" s="1257"/>
      <c r="J174" s="1257"/>
      <c r="K174" s="1624"/>
      <c r="L174" s="1257"/>
      <c r="M174" s="1257"/>
      <c r="N174" s="1257"/>
      <c r="O174" s="1463"/>
      <c r="P174" s="1405"/>
      <c r="Q174" s="1487"/>
      <c r="R174" s="1487"/>
      <c r="S174" s="1487"/>
      <c r="T174" s="1487"/>
      <c r="U174" s="1450"/>
      <c r="V174" s="1405"/>
      <c r="W174" s="1451"/>
      <c r="X174" s="1405"/>
      <c r="Y174" s="1406"/>
      <c r="Z174" s="1391"/>
      <c r="AA174" s="1624"/>
      <c r="AB174" s="1257"/>
      <c r="AC174" s="1257"/>
      <c r="AD174" s="1257"/>
      <c r="AE174" s="1257"/>
    </row>
    <row r="175" spans="1:33" ht="141.75" x14ac:dyDescent="0.3">
      <c r="A175" s="57"/>
      <c r="B175" s="170"/>
      <c r="C175" s="173" t="s">
        <v>981</v>
      </c>
      <c r="D175" s="475" t="s">
        <v>714</v>
      </c>
      <c r="E175" s="1258">
        <f>2400</f>
        <v>2400</v>
      </c>
      <c r="F175" s="1259">
        <f>2400</f>
        <v>2400</v>
      </c>
      <c r="G175" s="1259">
        <f>2400</f>
        <v>2400</v>
      </c>
      <c r="H175" s="1260">
        <f t="shared" ref="H175:H199" si="124">SUM(E175:G175)</f>
        <v>7200</v>
      </c>
      <c r="I175" s="1252" t="s">
        <v>162</v>
      </c>
      <c r="J175" s="1257" t="s">
        <v>1007</v>
      </c>
      <c r="K175" s="1624">
        <v>90</v>
      </c>
      <c r="L175" s="1257">
        <f>H175/90</f>
        <v>80</v>
      </c>
      <c r="M175" s="1257">
        <f t="shared" ref="M175:M199" si="125">L175/1.1317</f>
        <v>70.690112220553161</v>
      </c>
      <c r="N175" s="1257">
        <f t="shared" ref="N175:N199" si="126">K175*L175</f>
        <v>7200</v>
      </c>
      <c r="O175" s="1463">
        <f t="shared" ref="O175" si="127">N175/1.1317</f>
        <v>6362.1100998497841</v>
      </c>
      <c r="P175" s="1488"/>
      <c r="Q175" s="1489">
        <v>212</v>
      </c>
      <c r="R175" s="1489">
        <f>2070+718</f>
        <v>2788</v>
      </c>
      <c r="S175" s="1489">
        <f>1800</f>
        <v>1800</v>
      </c>
      <c r="T175" s="1487">
        <f t="shared" ref="T175:T199" si="128">SUM(P175:S175)</f>
        <v>4800</v>
      </c>
      <c r="U175" s="1490" t="s">
        <v>1065</v>
      </c>
      <c r="V175" s="1407">
        <f t="shared" ref="V175:V181" si="129">P175+Q175+R175+S175</f>
        <v>4800</v>
      </c>
      <c r="W175" s="1451">
        <f t="shared" ref="W175:W199" si="130">V175/1.1317</f>
        <v>4241.4067332331897</v>
      </c>
      <c r="X175" s="1407">
        <f t="shared" ref="X175:X199" si="131">V175-N175</f>
        <v>-2400</v>
      </c>
      <c r="Y175" s="1408">
        <f t="shared" ref="Y175:Y199" si="132">W175-O175</f>
        <v>-2120.7033666165944</v>
      </c>
      <c r="Z175" s="1391" t="s">
        <v>1007</v>
      </c>
      <c r="AA175" s="1624">
        <v>16</v>
      </c>
      <c r="AB175" s="1257">
        <f>V175/16</f>
        <v>300</v>
      </c>
      <c r="AC175" s="1257">
        <f t="shared" ref="AC175:AC199" si="133">AB175/1.1317</f>
        <v>265.08792082707436</v>
      </c>
      <c r="AD175" s="1257">
        <f t="shared" si="105"/>
        <v>4800</v>
      </c>
      <c r="AE175" s="1257">
        <f t="shared" ref="AE175:AE199" si="134">AD175/1.1317</f>
        <v>4241.4067332331897</v>
      </c>
    </row>
    <row r="176" spans="1:33" ht="60.75" x14ac:dyDescent="0.3">
      <c r="A176" s="57"/>
      <c r="B176" s="63"/>
      <c r="C176" s="332" t="s">
        <v>491</v>
      </c>
      <c r="D176" s="1110" t="s">
        <v>748</v>
      </c>
      <c r="E176" s="1258">
        <f>55400</f>
        <v>55400</v>
      </c>
      <c r="F176" s="1259">
        <f>60480</f>
        <v>60480</v>
      </c>
      <c r="G176" s="1259">
        <f>60480</f>
        <v>60480</v>
      </c>
      <c r="H176" s="1260">
        <f t="shared" si="124"/>
        <v>176360</v>
      </c>
      <c r="I176" s="1252" t="s">
        <v>368</v>
      </c>
      <c r="J176" s="1257" t="s">
        <v>1011</v>
      </c>
      <c r="K176" s="1624">
        <v>34</v>
      </c>
      <c r="L176" s="1257">
        <f>H176/34</f>
        <v>5187.0588235294117</v>
      </c>
      <c r="M176" s="1257">
        <f t="shared" si="125"/>
        <v>4583.4221291238064</v>
      </c>
      <c r="N176" s="1257">
        <f t="shared" si="126"/>
        <v>176360</v>
      </c>
      <c r="O176" s="1463">
        <f>N176/1.1317</f>
        <v>155836.35239020942</v>
      </c>
      <c r="P176" s="1488">
        <f>45700</f>
        <v>45700</v>
      </c>
      <c r="Q176" s="1489">
        <f>54860</f>
        <v>54860</v>
      </c>
      <c r="R176" s="1489">
        <f>54240</f>
        <v>54240</v>
      </c>
      <c r="S176" s="1489">
        <f>4520*12</f>
        <v>54240</v>
      </c>
      <c r="T176" s="1487">
        <f t="shared" si="128"/>
        <v>209040</v>
      </c>
      <c r="U176" s="1490" t="s">
        <v>727</v>
      </c>
      <c r="V176" s="1407">
        <f t="shared" si="129"/>
        <v>209040</v>
      </c>
      <c r="W176" s="1451">
        <f t="shared" si="130"/>
        <v>184713.26323230538</v>
      </c>
      <c r="X176" s="1407">
        <f t="shared" si="131"/>
        <v>32680</v>
      </c>
      <c r="Y176" s="1408">
        <f t="shared" si="132"/>
        <v>28876.910842095967</v>
      </c>
      <c r="Z176" s="1391" t="s">
        <v>1011</v>
      </c>
      <c r="AA176" s="1624">
        <v>46</v>
      </c>
      <c r="AB176" s="1257">
        <f>V176/46</f>
        <v>4544.347826086957</v>
      </c>
      <c r="AC176" s="1257">
        <f t="shared" si="133"/>
        <v>4015.5057224414218</v>
      </c>
      <c r="AD176" s="1257">
        <f t="shared" si="105"/>
        <v>209040.00000000003</v>
      </c>
      <c r="AE176" s="1257">
        <f t="shared" si="134"/>
        <v>184713.26323230541</v>
      </c>
    </row>
    <row r="177" spans="1:31" ht="40.5" x14ac:dyDescent="0.3">
      <c r="A177" s="57"/>
      <c r="B177" s="63"/>
      <c r="C177" s="332" t="s">
        <v>492</v>
      </c>
      <c r="D177" s="1110" t="s">
        <v>747</v>
      </c>
      <c r="E177" s="1258">
        <f>76400</f>
        <v>76400</v>
      </c>
      <c r="F177" s="1259">
        <f>91680</f>
        <v>91680</v>
      </c>
      <c r="G177" s="1259">
        <f>91680</f>
        <v>91680</v>
      </c>
      <c r="H177" s="1260">
        <f t="shared" si="124"/>
        <v>259760</v>
      </c>
      <c r="I177" s="1252" t="s">
        <v>367</v>
      </c>
      <c r="J177" s="1257" t="s">
        <v>1011</v>
      </c>
      <c r="K177" s="1624">
        <v>34</v>
      </c>
      <c r="L177" s="1257">
        <f>H177/34</f>
        <v>7640</v>
      </c>
      <c r="M177" s="1257">
        <f t="shared" si="125"/>
        <v>6750.9057170628266</v>
      </c>
      <c r="N177" s="1257">
        <f t="shared" si="126"/>
        <v>259760</v>
      </c>
      <c r="O177" s="1463">
        <f t="shared" ref="O177:O199" si="135">N177/1.1317</f>
        <v>229530.7943801361</v>
      </c>
      <c r="P177" s="1488">
        <f>70461</f>
        <v>70461</v>
      </c>
      <c r="Q177" s="1489">
        <f>79220</f>
        <v>79220</v>
      </c>
      <c r="R177" s="1489">
        <f>6550*12</f>
        <v>78600</v>
      </c>
      <c r="S177" s="1489">
        <f>6550*12</f>
        <v>78600</v>
      </c>
      <c r="T177" s="1487">
        <f t="shared" si="128"/>
        <v>306881</v>
      </c>
      <c r="U177" s="1490" t="s">
        <v>676</v>
      </c>
      <c r="V177" s="1407">
        <f t="shared" si="129"/>
        <v>306881</v>
      </c>
      <c r="W177" s="1451">
        <f t="shared" si="130"/>
        <v>271168.15410444466</v>
      </c>
      <c r="X177" s="1407">
        <f t="shared" si="131"/>
        <v>47121</v>
      </c>
      <c r="Y177" s="1408">
        <f t="shared" si="132"/>
        <v>41637.359724308568</v>
      </c>
      <c r="Z177" s="1391" t="s">
        <v>1011</v>
      </c>
      <c r="AA177" s="1624">
        <v>46</v>
      </c>
      <c r="AB177" s="1257">
        <f>V177/46</f>
        <v>6671.326086956522</v>
      </c>
      <c r="AC177" s="1257">
        <f t="shared" si="133"/>
        <v>5894.9598718357538</v>
      </c>
      <c r="AD177" s="1257">
        <f t="shared" si="105"/>
        <v>306881</v>
      </c>
      <c r="AE177" s="1257">
        <f t="shared" si="134"/>
        <v>271168.15410444466</v>
      </c>
    </row>
    <row r="178" spans="1:31" ht="40.5" x14ac:dyDescent="0.3">
      <c r="A178" s="74"/>
      <c r="B178" s="63"/>
      <c r="C178" s="332" t="s">
        <v>493</v>
      </c>
      <c r="D178" s="1110" t="s">
        <v>746</v>
      </c>
      <c r="E178" s="1258"/>
      <c r="F178" s="1259"/>
      <c r="G178" s="1259"/>
      <c r="H178" s="1260">
        <f t="shared" si="124"/>
        <v>0</v>
      </c>
      <c r="I178" s="1252"/>
      <c r="J178" s="1257"/>
      <c r="K178" s="1624">
        <v>0</v>
      </c>
      <c r="L178" s="1257">
        <f t="shared" ref="L178:L199" si="136">H178/5</f>
        <v>0</v>
      </c>
      <c r="M178" s="1257">
        <f t="shared" si="125"/>
        <v>0</v>
      </c>
      <c r="N178" s="1257">
        <f t="shared" si="126"/>
        <v>0</v>
      </c>
      <c r="O178" s="1463">
        <f t="shared" si="135"/>
        <v>0</v>
      </c>
      <c r="P178" s="1488"/>
      <c r="Q178" s="1489">
        <v>4865</v>
      </c>
      <c r="R178" s="1489">
        <f>400*12</f>
        <v>4800</v>
      </c>
      <c r="S178" s="1489">
        <f>400*12</f>
        <v>4800</v>
      </c>
      <c r="T178" s="1487">
        <f t="shared" si="128"/>
        <v>14465</v>
      </c>
      <c r="U178" s="1490" t="s">
        <v>677</v>
      </c>
      <c r="V178" s="1407">
        <f t="shared" si="129"/>
        <v>14465</v>
      </c>
      <c r="W178" s="1451">
        <f t="shared" si="130"/>
        <v>12781.655915878768</v>
      </c>
      <c r="X178" s="1407">
        <f t="shared" si="131"/>
        <v>14465</v>
      </c>
      <c r="Y178" s="1408">
        <f t="shared" si="132"/>
        <v>12781.655915878768</v>
      </c>
      <c r="Z178" s="1391" t="s">
        <v>1066</v>
      </c>
      <c r="AA178" s="1624">
        <v>36</v>
      </c>
      <c r="AB178" s="1257">
        <f>V178/36</f>
        <v>401.80555555555554</v>
      </c>
      <c r="AC178" s="1257">
        <f t="shared" si="133"/>
        <v>355.04599766329909</v>
      </c>
      <c r="AD178" s="1257">
        <f t="shared" si="105"/>
        <v>14465</v>
      </c>
      <c r="AE178" s="1257">
        <f t="shared" si="134"/>
        <v>12781.655915878768</v>
      </c>
    </row>
    <row r="179" spans="1:31" ht="60.75" x14ac:dyDescent="0.3">
      <c r="A179" s="57"/>
      <c r="B179" s="138"/>
      <c r="C179" s="332" t="s">
        <v>494</v>
      </c>
      <c r="D179" s="1110" t="s">
        <v>608</v>
      </c>
      <c r="E179" s="1258">
        <f>120000</f>
        <v>120000</v>
      </c>
      <c r="F179" s="1259"/>
      <c r="G179" s="1259"/>
      <c r="H179" s="1260">
        <f t="shared" si="124"/>
        <v>120000</v>
      </c>
      <c r="I179" s="1252" t="s">
        <v>163</v>
      </c>
      <c r="J179" s="1257" t="s">
        <v>1012</v>
      </c>
      <c r="K179" s="1624">
        <v>3</v>
      </c>
      <c r="L179" s="1257">
        <f>H179/3</f>
        <v>40000</v>
      </c>
      <c r="M179" s="1257">
        <f t="shared" si="125"/>
        <v>35345.056110276579</v>
      </c>
      <c r="N179" s="1257">
        <f t="shared" si="126"/>
        <v>120000</v>
      </c>
      <c r="O179" s="1463">
        <f t="shared" si="135"/>
        <v>106035.16833082974</v>
      </c>
      <c r="P179" s="1488"/>
      <c r="Q179" s="1489">
        <f>21896.67</f>
        <v>21896.67</v>
      </c>
      <c r="R179" s="1489"/>
      <c r="S179" s="1489"/>
      <c r="T179" s="1487">
        <f t="shared" si="128"/>
        <v>21896.67</v>
      </c>
      <c r="U179" s="1490" t="s">
        <v>773</v>
      </c>
      <c r="V179" s="1407">
        <f t="shared" si="129"/>
        <v>21896.67</v>
      </c>
      <c r="W179" s="1451">
        <f t="shared" si="130"/>
        <v>19348.475744455245</v>
      </c>
      <c r="X179" s="1407">
        <f t="shared" si="131"/>
        <v>-98103.33</v>
      </c>
      <c r="Y179" s="1408">
        <f t="shared" si="132"/>
        <v>-86686.692586374498</v>
      </c>
      <c r="Z179" s="1391" t="s">
        <v>1012</v>
      </c>
      <c r="AA179" s="1624">
        <v>1</v>
      </c>
      <c r="AB179" s="1257">
        <f>V179/1</f>
        <v>21896.67</v>
      </c>
      <c r="AC179" s="1257">
        <f t="shared" si="133"/>
        <v>19348.475744455245</v>
      </c>
      <c r="AD179" s="1257">
        <f t="shared" si="105"/>
        <v>21896.67</v>
      </c>
      <c r="AE179" s="1257">
        <f t="shared" si="134"/>
        <v>19348.475744455245</v>
      </c>
    </row>
    <row r="180" spans="1:31" ht="60.75" x14ac:dyDescent="0.3">
      <c r="A180" s="74"/>
      <c r="B180" s="138"/>
      <c r="C180" s="332" t="s">
        <v>495</v>
      </c>
      <c r="D180" s="1110" t="s">
        <v>496</v>
      </c>
      <c r="E180" s="1258"/>
      <c r="F180" s="1259"/>
      <c r="G180" s="1259"/>
      <c r="H180" s="1260">
        <f t="shared" si="124"/>
        <v>0</v>
      </c>
      <c r="I180" s="1253"/>
      <c r="J180" s="1257"/>
      <c r="K180" s="1624">
        <v>0</v>
      </c>
      <c r="L180" s="1257">
        <f t="shared" si="136"/>
        <v>0</v>
      </c>
      <c r="M180" s="1257">
        <f t="shared" si="125"/>
        <v>0</v>
      </c>
      <c r="N180" s="1257">
        <f t="shared" si="126"/>
        <v>0</v>
      </c>
      <c r="O180" s="1463">
        <f t="shared" si="135"/>
        <v>0</v>
      </c>
      <c r="P180" s="1488"/>
      <c r="Q180" s="1489">
        <v>58820</v>
      </c>
      <c r="R180" s="1489"/>
      <c r="S180" s="1489"/>
      <c r="T180" s="1487">
        <f t="shared" si="128"/>
        <v>58820</v>
      </c>
      <c r="U180" s="1490" t="s">
        <v>497</v>
      </c>
      <c r="V180" s="1407">
        <f t="shared" si="129"/>
        <v>58820</v>
      </c>
      <c r="W180" s="1451">
        <f t="shared" si="130"/>
        <v>51974.90501016171</v>
      </c>
      <c r="X180" s="1407">
        <f t="shared" si="131"/>
        <v>58820</v>
      </c>
      <c r="Y180" s="1408">
        <f t="shared" si="132"/>
        <v>51974.90501016171</v>
      </c>
      <c r="Z180" s="1391" t="s">
        <v>1067</v>
      </c>
      <c r="AA180" s="1624">
        <v>2</v>
      </c>
      <c r="AB180" s="1257">
        <f>V180/2</f>
        <v>29410</v>
      </c>
      <c r="AC180" s="1257">
        <f t="shared" si="133"/>
        <v>25987.452505080855</v>
      </c>
      <c r="AD180" s="1257">
        <f t="shared" si="105"/>
        <v>58820</v>
      </c>
      <c r="AE180" s="1257">
        <f t="shared" si="134"/>
        <v>51974.90501016171</v>
      </c>
    </row>
    <row r="181" spans="1:31" ht="81" x14ac:dyDescent="0.3">
      <c r="A181" s="57"/>
      <c r="B181" s="63"/>
      <c r="C181" s="277" t="s">
        <v>164</v>
      </c>
      <c r="D181" s="1095" t="s">
        <v>745</v>
      </c>
      <c r="E181" s="1258">
        <f>4200</f>
        <v>4200</v>
      </c>
      <c r="F181" s="1259"/>
      <c r="G181" s="1259"/>
      <c r="H181" s="1260">
        <f t="shared" si="124"/>
        <v>4200</v>
      </c>
      <c r="I181" s="1253" t="s">
        <v>166</v>
      </c>
      <c r="J181" s="1257" t="s">
        <v>1008</v>
      </c>
      <c r="K181" s="1624">
        <v>2</v>
      </c>
      <c r="L181" s="1257">
        <f>H181/2</f>
        <v>2100</v>
      </c>
      <c r="M181" s="1257">
        <f t="shared" si="125"/>
        <v>1855.6154457895202</v>
      </c>
      <c r="N181" s="1257">
        <f t="shared" si="126"/>
        <v>4200</v>
      </c>
      <c r="O181" s="1463">
        <f t="shared" si="135"/>
        <v>3711.2308915790404</v>
      </c>
      <c r="P181" s="1516">
        <v>1550</v>
      </c>
      <c r="Q181" s="1517"/>
      <c r="R181" s="1517"/>
      <c r="S181" s="1517"/>
      <c r="T181" s="1487">
        <f t="shared" si="128"/>
        <v>1550</v>
      </c>
      <c r="U181" s="1490" t="s">
        <v>609</v>
      </c>
      <c r="V181" s="1407">
        <f t="shared" si="129"/>
        <v>1550</v>
      </c>
      <c r="W181" s="1451">
        <f t="shared" si="130"/>
        <v>1369.6209242732173</v>
      </c>
      <c r="X181" s="1407">
        <f t="shared" si="131"/>
        <v>-2650</v>
      </c>
      <c r="Y181" s="1408">
        <f t="shared" si="132"/>
        <v>-2341.6099673058234</v>
      </c>
      <c r="Z181" s="1391" t="s">
        <v>1008</v>
      </c>
      <c r="AA181" s="1624">
        <v>2</v>
      </c>
      <c r="AB181" s="1257">
        <f>V181/2</f>
        <v>775</v>
      </c>
      <c r="AC181" s="1257">
        <f t="shared" si="133"/>
        <v>684.81046213660863</v>
      </c>
      <c r="AD181" s="1257">
        <f t="shared" si="105"/>
        <v>1550</v>
      </c>
      <c r="AE181" s="1257">
        <f t="shared" si="134"/>
        <v>1369.6209242732173</v>
      </c>
    </row>
    <row r="182" spans="1:31" ht="40.5" x14ac:dyDescent="0.3">
      <c r="A182" s="224"/>
      <c r="B182" s="1092"/>
      <c r="C182" s="277" t="s">
        <v>167</v>
      </c>
      <c r="D182" s="1095" t="s">
        <v>168</v>
      </c>
      <c r="E182" s="1258">
        <f>4000</f>
        <v>4000</v>
      </c>
      <c r="F182" s="1259"/>
      <c r="G182" s="1259"/>
      <c r="H182" s="1260">
        <f t="shared" si="124"/>
        <v>4000</v>
      </c>
      <c r="I182" s="1252" t="s">
        <v>170</v>
      </c>
      <c r="J182" s="1257" t="s">
        <v>1001</v>
      </c>
      <c r="K182" s="1624">
        <v>10</v>
      </c>
      <c r="L182" s="1257">
        <f>H182/10</f>
        <v>400</v>
      </c>
      <c r="M182" s="1257">
        <f t="shared" si="125"/>
        <v>353.45056110276579</v>
      </c>
      <c r="N182" s="1257">
        <f t="shared" si="126"/>
        <v>4000</v>
      </c>
      <c r="O182" s="1463">
        <f t="shared" si="135"/>
        <v>3534.5056110276578</v>
      </c>
      <c r="P182" s="1516"/>
      <c r="Q182" s="1517"/>
      <c r="R182" s="1517"/>
      <c r="S182" s="1517"/>
      <c r="T182" s="1487"/>
      <c r="U182" s="1490"/>
      <c r="V182" s="1407"/>
      <c r="W182" s="1451">
        <f t="shared" si="130"/>
        <v>0</v>
      </c>
      <c r="X182" s="1407">
        <f t="shared" si="131"/>
        <v>-4000</v>
      </c>
      <c r="Y182" s="1408">
        <f t="shared" si="132"/>
        <v>-3534.5056110276578</v>
      </c>
      <c r="Z182" s="1391"/>
      <c r="AA182" s="1624"/>
      <c r="AB182" s="1257"/>
      <c r="AC182" s="1257"/>
      <c r="AD182" s="1257"/>
      <c r="AE182" s="1257">
        <f t="shared" si="134"/>
        <v>0</v>
      </c>
    </row>
    <row r="183" spans="1:31" ht="101.25" x14ac:dyDescent="0.3">
      <c r="A183" s="74"/>
      <c r="B183" s="1092"/>
      <c r="C183" s="1105" t="s">
        <v>171</v>
      </c>
      <c r="D183" s="1122" t="s">
        <v>172</v>
      </c>
      <c r="E183" s="1258">
        <f>35385</f>
        <v>35385</v>
      </c>
      <c r="F183" s="1259">
        <f>38505</f>
        <v>38505</v>
      </c>
      <c r="G183" s="1259"/>
      <c r="H183" s="1260">
        <f t="shared" si="124"/>
        <v>73890</v>
      </c>
      <c r="I183" s="1252" t="s">
        <v>333</v>
      </c>
      <c r="J183" s="1257" t="s">
        <v>1007</v>
      </c>
      <c r="K183" s="1624">
        <v>62</v>
      </c>
      <c r="L183" s="1257">
        <f>H183/62</f>
        <v>1191.7741935483871</v>
      </c>
      <c r="M183" s="1257">
        <f t="shared" si="125"/>
        <v>1053.0831435436839</v>
      </c>
      <c r="N183" s="1257">
        <f t="shared" si="126"/>
        <v>73890</v>
      </c>
      <c r="O183" s="1463">
        <f t="shared" si="135"/>
        <v>65291.15489970841</v>
      </c>
      <c r="P183" s="1516"/>
      <c r="Q183" s="1517"/>
      <c r="R183" s="1517"/>
      <c r="S183" s="1517"/>
      <c r="T183" s="1487"/>
      <c r="U183" s="1490"/>
      <c r="V183" s="1407"/>
      <c r="W183" s="1451">
        <f t="shared" si="130"/>
        <v>0</v>
      </c>
      <c r="X183" s="1407">
        <f t="shared" si="131"/>
        <v>-73890</v>
      </c>
      <c r="Y183" s="1408">
        <f t="shared" si="132"/>
        <v>-65291.15489970841</v>
      </c>
      <c r="Z183" s="1391"/>
      <c r="AA183" s="1624"/>
      <c r="AB183" s="1257"/>
      <c r="AC183" s="1257"/>
      <c r="AD183" s="1257"/>
      <c r="AE183" s="1257">
        <f t="shared" si="134"/>
        <v>0</v>
      </c>
    </row>
    <row r="184" spans="1:31" ht="81" x14ac:dyDescent="0.3">
      <c r="A184" s="57"/>
      <c r="B184" s="63"/>
      <c r="C184" s="332" t="s">
        <v>174</v>
      </c>
      <c r="D184" s="1110" t="s">
        <v>175</v>
      </c>
      <c r="E184" s="1258">
        <f>4000</f>
        <v>4000</v>
      </c>
      <c r="F184" s="1259">
        <f>6000</f>
        <v>6000</v>
      </c>
      <c r="G184" s="1259">
        <f>6000</f>
        <v>6000</v>
      </c>
      <c r="H184" s="1260">
        <f t="shared" si="124"/>
        <v>16000</v>
      </c>
      <c r="I184" s="1253" t="s">
        <v>176</v>
      </c>
      <c r="J184" s="1257" t="s">
        <v>1013</v>
      </c>
      <c r="K184" s="1624">
        <v>3</v>
      </c>
      <c r="L184" s="1257">
        <f>H184/3</f>
        <v>5333.333333333333</v>
      </c>
      <c r="M184" s="1257">
        <f t="shared" si="125"/>
        <v>4712.6741480368764</v>
      </c>
      <c r="N184" s="1257">
        <f t="shared" si="126"/>
        <v>16000</v>
      </c>
      <c r="O184" s="1463">
        <f t="shared" si="135"/>
        <v>14138.022444110631</v>
      </c>
      <c r="P184" s="1488">
        <f>733</f>
        <v>733</v>
      </c>
      <c r="Q184" s="1489">
        <v>850</v>
      </c>
      <c r="R184" s="1489">
        <f>10000</f>
        <v>10000</v>
      </c>
      <c r="S184" s="1489">
        <f>3617</f>
        <v>3617</v>
      </c>
      <c r="T184" s="1487">
        <f t="shared" si="128"/>
        <v>15200</v>
      </c>
      <c r="U184" s="1490" t="s">
        <v>774</v>
      </c>
      <c r="V184" s="1407">
        <f t="shared" ref="V184:V192" si="137">P184+Q184+R184+S184</f>
        <v>15200</v>
      </c>
      <c r="W184" s="1451">
        <f t="shared" si="130"/>
        <v>13431.121321905099</v>
      </c>
      <c r="X184" s="1407">
        <f t="shared" si="131"/>
        <v>-800</v>
      </c>
      <c r="Y184" s="1408">
        <f t="shared" si="132"/>
        <v>-706.90112220553237</v>
      </c>
      <c r="Z184" s="1391" t="s">
        <v>1013</v>
      </c>
      <c r="AA184" s="1624">
        <v>4</v>
      </c>
      <c r="AB184" s="1257">
        <f>V184/4</f>
        <v>3800</v>
      </c>
      <c r="AC184" s="1257">
        <f t="shared" si="133"/>
        <v>3357.7803304762747</v>
      </c>
      <c r="AD184" s="1257">
        <f t="shared" si="105"/>
        <v>15200</v>
      </c>
      <c r="AE184" s="1257">
        <f t="shared" si="134"/>
        <v>13431.121321905099</v>
      </c>
    </row>
    <row r="185" spans="1:31" ht="121.5" x14ac:dyDescent="0.3">
      <c r="A185" s="57"/>
      <c r="B185" s="63"/>
      <c r="C185" s="277" t="s">
        <v>177</v>
      </c>
      <c r="D185" s="1095" t="s">
        <v>178</v>
      </c>
      <c r="E185" s="1258">
        <f>5000</f>
        <v>5000</v>
      </c>
      <c r="F185" s="1259">
        <f>5000</f>
        <v>5000</v>
      </c>
      <c r="G185" s="1259">
        <f>5000</f>
        <v>5000</v>
      </c>
      <c r="H185" s="1260">
        <f t="shared" si="124"/>
        <v>15000</v>
      </c>
      <c r="I185" s="1252" t="s">
        <v>179</v>
      </c>
      <c r="J185" s="1257" t="s">
        <v>1013</v>
      </c>
      <c r="K185" s="1624">
        <v>3</v>
      </c>
      <c r="L185" s="1257">
        <f>H185/3</f>
        <v>5000</v>
      </c>
      <c r="M185" s="1257">
        <f t="shared" si="125"/>
        <v>4418.1320137845723</v>
      </c>
      <c r="N185" s="1257">
        <f t="shared" si="126"/>
        <v>15000</v>
      </c>
      <c r="O185" s="1463">
        <f t="shared" si="135"/>
        <v>13254.396041353717</v>
      </c>
      <c r="P185" s="1488">
        <v>9120</v>
      </c>
      <c r="Q185" s="1489">
        <v>690</v>
      </c>
      <c r="R185" s="1489">
        <f>9200</f>
        <v>9200</v>
      </c>
      <c r="S185" s="1489"/>
      <c r="T185" s="1487">
        <f t="shared" si="128"/>
        <v>19010</v>
      </c>
      <c r="U185" s="1490" t="s">
        <v>610</v>
      </c>
      <c r="V185" s="1407">
        <f t="shared" si="137"/>
        <v>19010</v>
      </c>
      <c r="W185" s="1451">
        <f t="shared" si="130"/>
        <v>16797.737916408943</v>
      </c>
      <c r="X185" s="1407">
        <f t="shared" si="131"/>
        <v>4010</v>
      </c>
      <c r="Y185" s="1408">
        <f t="shared" si="132"/>
        <v>3543.3418750552264</v>
      </c>
      <c r="Z185" s="1391" t="s">
        <v>1013</v>
      </c>
      <c r="AA185" s="1624">
        <v>4</v>
      </c>
      <c r="AB185" s="1257">
        <f>V185/4</f>
        <v>4752.5</v>
      </c>
      <c r="AC185" s="1257">
        <f t="shared" si="133"/>
        <v>4199.4344791022359</v>
      </c>
      <c r="AD185" s="1257">
        <f t="shared" si="105"/>
        <v>19010</v>
      </c>
      <c r="AE185" s="1257">
        <f t="shared" si="134"/>
        <v>16797.737916408943</v>
      </c>
    </row>
    <row r="186" spans="1:31" ht="40.5" x14ac:dyDescent="0.3">
      <c r="A186" s="74"/>
      <c r="B186" s="204"/>
      <c r="C186" s="459" t="s">
        <v>717</v>
      </c>
      <c r="D186" s="1110" t="s">
        <v>715</v>
      </c>
      <c r="E186" s="1258"/>
      <c r="F186" s="1259"/>
      <c r="G186" s="1259"/>
      <c r="H186" s="1260">
        <f t="shared" si="124"/>
        <v>0</v>
      </c>
      <c r="I186" s="1252"/>
      <c r="J186" s="1257"/>
      <c r="K186" s="1624">
        <v>0</v>
      </c>
      <c r="L186" s="1257">
        <f t="shared" si="136"/>
        <v>0</v>
      </c>
      <c r="M186" s="1257">
        <f t="shared" si="125"/>
        <v>0</v>
      </c>
      <c r="N186" s="1257">
        <f t="shared" si="126"/>
        <v>0</v>
      </c>
      <c r="O186" s="1463">
        <f t="shared" si="135"/>
        <v>0</v>
      </c>
      <c r="P186" s="1488"/>
      <c r="Q186" s="1489"/>
      <c r="R186" s="1489"/>
      <c r="S186" s="1489">
        <f>10000</f>
        <v>10000</v>
      </c>
      <c r="T186" s="1487">
        <f t="shared" si="128"/>
        <v>10000</v>
      </c>
      <c r="U186" s="1490" t="s">
        <v>716</v>
      </c>
      <c r="V186" s="1407">
        <f t="shared" si="137"/>
        <v>10000</v>
      </c>
      <c r="W186" s="1451">
        <f t="shared" si="130"/>
        <v>8836.2640275691447</v>
      </c>
      <c r="X186" s="1407">
        <f t="shared" si="131"/>
        <v>10000</v>
      </c>
      <c r="Y186" s="1408">
        <f t="shared" si="132"/>
        <v>8836.2640275691447</v>
      </c>
      <c r="Z186" s="1391" t="s">
        <v>1068</v>
      </c>
      <c r="AA186" s="1624">
        <v>2</v>
      </c>
      <c r="AB186" s="1257">
        <f>V186/2</f>
        <v>5000</v>
      </c>
      <c r="AC186" s="1257">
        <f t="shared" ref="AC186" si="138">AB186/1.1317</f>
        <v>4418.1320137845723</v>
      </c>
      <c r="AD186" s="1257">
        <f t="shared" ref="AD186" si="139">AA186*AB186</f>
        <v>10000</v>
      </c>
      <c r="AE186" s="1257">
        <f t="shared" si="134"/>
        <v>8836.2640275691447</v>
      </c>
    </row>
    <row r="187" spans="1:31" ht="40.5" x14ac:dyDescent="0.3">
      <c r="A187" s="74"/>
      <c r="B187" s="63"/>
      <c r="C187" s="332" t="s">
        <v>180</v>
      </c>
      <c r="D187" s="1110" t="s">
        <v>498</v>
      </c>
      <c r="E187" s="1258"/>
      <c r="F187" s="1259"/>
      <c r="G187" s="1259"/>
      <c r="H187" s="1260">
        <f t="shared" si="124"/>
        <v>0</v>
      </c>
      <c r="I187" s="1252"/>
      <c r="J187" s="1257"/>
      <c r="K187" s="1624">
        <v>0</v>
      </c>
      <c r="L187" s="1257">
        <f t="shared" si="136"/>
        <v>0</v>
      </c>
      <c r="M187" s="1257">
        <f t="shared" si="125"/>
        <v>0</v>
      </c>
      <c r="N187" s="1257">
        <f t="shared" si="126"/>
        <v>0</v>
      </c>
      <c r="O187" s="1463">
        <f t="shared" si="135"/>
        <v>0</v>
      </c>
      <c r="P187" s="1516">
        <v>17750</v>
      </c>
      <c r="Q187" s="1517">
        <v>8000</v>
      </c>
      <c r="R187" s="1517"/>
      <c r="S187" s="1517"/>
      <c r="T187" s="1487">
        <f t="shared" si="128"/>
        <v>25750</v>
      </c>
      <c r="U187" s="1490" t="s">
        <v>1069</v>
      </c>
      <c r="V187" s="1407">
        <f t="shared" si="137"/>
        <v>25750</v>
      </c>
      <c r="W187" s="1451">
        <f t="shared" si="130"/>
        <v>22753.379870990546</v>
      </c>
      <c r="X187" s="1407">
        <f t="shared" si="131"/>
        <v>25750</v>
      </c>
      <c r="Y187" s="1408">
        <f t="shared" si="132"/>
        <v>22753.379870990546</v>
      </c>
      <c r="Z187" s="1391" t="s">
        <v>1067</v>
      </c>
      <c r="AA187" s="1624">
        <v>3</v>
      </c>
      <c r="AB187" s="1257">
        <f>V187/3</f>
        <v>8583.3333333333339</v>
      </c>
      <c r="AC187" s="1257">
        <f t="shared" si="133"/>
        <v>7584.4599569968495</v>
      </c>
      <c r="AD187" s="1257">
        <f t="shared" si="105"/>
        <v>25750</v>
      </c>
      <c r="AE187" s="1257">
        <f t="shared" si="134"/>
        <v>22753.379870990546</v>
      </c>
    </row>
    <row r="188" spans="1:31" ht="121.5" x14ac:dyDescent="0.3">
      <c r="A188" s="74"/>
      <c r="B188" s="63"/>
      <c r="C188" s="454" t="s">
        <v>984</v>
      </c>
      <c r="D188" s="1110" t="s">
        <v>679</v>
      </c>
      <c r="E188" s="1258"/>
      <c r="F188" s="1259"/>
      <c r="G188" s="1259"/>
      <c r="H188" s="1260">
        <f t="shared" si="124"/>
        <v>0</v>
      </c>
      <c r="I188" s="1252"/>
      <c r="J188" s="1257"/>
      <c r="K188" s="1624">
        <v>0</v>
      </c>
      <c r="L188" s="1257">
        <f t="shared" si="136"/>
        <v>0</v>
      </c>
      <c r="M188" s="1257">
        <f t="shared" si="125"/>
        <v>0</v>
      </c>
      <c r="N188" s="1257">
        <f t="shared" si="126"/>
        <v>0</v>
      </c>
      <c r="O188" s="1463">
        <f t="shared" si="135"/>
        <v>0</v>
      </c>
      <c r="P188" s="1488"/>
      <c r="Q188" s="1489"/>
      <c r="R188" s="1489"/>
      <c r="S188" s="1517">
        <v>11150</v>
      </c>
      <c r="T188" s="1487">
        <f>SUM(P188:S188)</f>
        <v>11150</v>
      </c>
      <c r="U188" s="1490" t="s">
        <v>777</v>
      </c>
      <c r="V188" s="1407">
        <f t="shared" si="137"/>
        <v>11150</v>
      </c>
      <c r="W188" s="1451">
        <f t="shared" si="130"/>
        <v>9852.434390739596</v>
      </c>
      <c r="X188" s="1407">
        <f t="shared" si="131"/>
        <v>11150</v>
      </c>
      <c r="Y188" s="1408">
        <f t="shared" si="132"/>
        <v>9852.434390739596</v>
      </c>
      <c r="Z188" s="1391" t="s">
        <v>993</v>
      </c>
      <c r="AA188" s="1624">
        <v>45</v>
      </c>
      <c r="AB188" s="1257">
        <f>V188/45</f>
        <v>247.77777777777777</v>
      </c>
      <c r="AC188" s="1257">
        <f t="shared" ref="AC188" si="140">AB188/1.1317</f>
        <v>218.94298646087989</v>
      </c>
      <c r="AD188" s="1257">
        <f t="shared" ref="AD188" si="141">AA188*AB188</f>
        <v>11150</v>
      </c>
      <c r="AE188" s="1257">
        <f t="shared" si="134"/>
        <v>9852.434390739596</v>
      </c>
    </row>
    <row r="189" spans="1:31" ht="81" x14ac:dyDescent="0.3">
      <c r="A189" s="74"/>
      <c r="B189" s="1092"/>
      <c r="C189" s="340" t="s">
        <v>499</v>
      </c>
      <c r="D189" s="1110" t="s">
        <v>868</v>
      </c>
      <c r="E189" s="1258">
        <f>39445.91</f>
        <v>39445.910000000003</v>
      </c>
      <c r="F189" s="1259">
        <f>20041.13</f>
        <v>20041.13</v>
      </c>
      <c r="G189" s="1259">
        <f>5613.16</f>
        <v>5613.16</v>
      </c>
      <c r="H189" s="1260">
        <f t="shared" si="124"/>
        <v>65100.200000000012</v>
      </c>
      <c r="I189" s="1252" t="s">
        <v>989</v>
      </c>
      <c r="J189" s="1257" t="s">
        <v>1013</v>
      </c>
      <c r="K189" s="1624">
        <v>3</v>
      </c>
      <c r="L189" s="1257">
        <f>H189/3</f>
        <v>21700.066666666669</v>
      </c>
      <c r="M189" s="1257">
        <f t="shared" si="125"/>
        <v>19174.751848251897</v>
      </c>
      <c r="N189" s="1257">
        <f t="shared" si="126"/>
        <v>65100.200000000012</v>
      </c>
      <c r="O189" s="1463">
        <f t="shared" si="135"/>
        <v>57524.255544755688</v>
      </c>
      <c r="P189" s="1488">
        <v>10850</v>
      </c>
      <c r="Q189" s="1489">
        <v>16590</v>
      </c>
      <c r="R189" s="1489">
        <f>16933+5000</f>
        <v>21933</v>
      </c>
      <c r="S189" s="1517">
        <f>7120</f>
        <v>7120</v>
      </c>
      <c r="T189" s="1487">
        <f>SUM(P189:S189)</f>
        <v>56493</v>
      </c>
      <c r="U189" s="1490" t="s">
        <v>874</v>
      </c>
      <c r="V189" s="1407">
        <f t="shared" si="137"/>
        <v>56493</v>
      </c>
      <c r="W189" s="1451">
        <f t="shared" si="130"/>
        <v>49918.706370946369</v>
      </c>
      <c r="X189" s="1407">
        <f t="shared" si="131"/>
        <v>-8607.2000000000116</v>
      </c>
      <c r="Y189" s="1408">
        <f t="shared" si="132"/>
        <v>-7605.5491738093187</v>
      </c>
      <c r="Z189" s="1391" t="s">
        <v>1013</v>
      </c>
      <c r="AA189" s="1624">
        <v>4</v>
      </c>
      <c r="AB189" s="1257">
        <f>V189/4</f>
        <v>14123.25</v>
      </c>
      <c r="AC189" s="1257">
        <f>AB189/1.1317</f>
        <v>12479.676592736592</v>
      </c>
      <c r="AD189" s="1257">
        <f>AA189*AB189</f>
        <v>56493</v>
      </c>
      <c r="AE189" s="1257">
        <f t="shared" si="134"/>
        <v>49918.706370946369</v>
      </c>
    </row>
    <row r="190" spans="1:31" ht="61.5" thickBot="1" x14ac:dyDescent="0.35">
      <c r="A190" s="57"/>
      <c r="B190" s="281"/>
      <c r="C190" s="1191" t="s">
        <v>500</v>
      </c>
      <c r="D190" s="1152" t="s">
        <v>863</v>
      </c>
      <c r="E190" s="1258"/>
      <c r="F190" s="1259"/>
      <c r="G190" s="1259"/>
      <c r="H190" s="1260"/>
      <c r="I190" s="1252"/>
      <c r="J190" s="1257"/>
      <c r="K190" s="1624"/>
      <c r="L190" s="1257"/>
      <c r="M190" s="1257">
        <f t="shared" si="125"/>
        <v>0</v>
      </c>
      <c r="N190" s="1257">
        <f t="shared" si="126"/>
        <v>0</v>
      </c>
      <c r="O190" s="1463">
        <f t="shared" si="135"/>
        <v>0</v>
      </c>
      <c r="P190" s="1488"/>
      <c r="Q190" s="1489"/>
      <c r="R190" s="1489">
        <f>43211</f>
        <v>43211</v>
      </c>
      <c r="S190" s="1517"/>
      <c r="T190" s="1487">
        <f t="shared" si="128"/>
        <v>43211</v>
      </c>
      <c r="U190" s="1490" t="s">
        <v>1054</v>
      </c>
      <c r="V190" s="1407">
        <f t="shared" si="137"/>
        <v>43211</v>
      </c>
      <c r="W190" s="1451">
        <f t="shared" si="130"/>
        <v>38182.38048952903</v>
      </c>
      <c r="X190" s="1407">
        <f t="shared" si="131"/>
        <v>43211</v>
      </c>
      <c r="Y190" s="1408">
        <f t="shared" si="132"/>
        <v>38182.38048952903</v>
      </c>
      <c r="Z190" s="1391" t="s">
        <v>1070</v>
      </c>
      <c r="AA190" s="1624">
        <v>2</v>
      </c>
      <c r="AB190" s="1257">
        <f>V190/2</f>
        <v>21605.5</v>
      </c>
      <c r="AC190" s="1257">
        <f t="shared" si="133"/>
        <v>19091.190244764515</v>
      </c>
      <c r="AD190" s="1257">
        <f t="shared" si="105"/>
        <v>43211</v>
      </c>
      <c r="AE190" s="1257">
        <f t="shared" si="134"/>
        <v>38182.38048952903</v>
      </c>
    </row>
    <row r="191" spans="1:31" ht="60.75" x14ac:dyDescent="0.3">
      <c r="A191" s="74"/>
      <c r="B191" s="63"/>
      <c r="C191" s="1189" t="s">
        <v>501</v>
      </c>
      <c r="D191" s="1190" t="s">
        <v>982</v>
      </c>
      <c r="E191" s="1258">
        <v>10000</v>
      </c>
      <c r="F191" s="1259"/>
      <c r="G191" s="1259"/>
      <c r="H191" s="1260">
        <f t="shared" ref="H191" si="142">SUM(E191:G191)</f>
        <v>10000</v>
      </c>
      <c r="I191" s="1252" t="s">
        <v>183</v>
      </c>
      <c r="J191" s="1257" t="s">
        <v>1007</v>
      </c>
      <c r="K191" s="1624">
        <v>70</v>
      </c>
      <c r="L191" s="1257">
        <f>H191/70</f>
        <v>142.85714285714286</v>
      </c>
      <c r="M191" s="1257">
        <f t="shared" si="125"/>
        <v>126.23234325098778</v>
      </c>
      <c r="N191" s="1257">
        <f t="shared" si="126"/>
        <v>10000</v>
      </c>
      <c r="O191" s="1463">
        <f t="shared" si="135"/>
        <v>8836.2640275691447</v>
      </c>
      <c r="P191" s="1488"/>
      <c r="Q191" s="1489"/>
      <c r="R191" s="1489">
        <f>700</f>
        <v>700</v>
      </c>
      <c r="S191" s="1517">
        <f>4000</f>
        <v>4000</v>
      </c>
      <c r="T191" s="1487">
        <f t="shared" si="128"/>
        <v>4700</v>
      </c>
      <c r="U191" s="1490" t="s">
        <v>776</v>
      </c>
      <c r="V191" s="1407">
        <f t="shared" si="137"/>
        <v>4700</v>
      </c>
      <c r="W191" s="1451">
        <f t="shared" si="130"/>
        <v>4153.0440929574979</v>
      </c>
      <c r="X191" s="1407">
        <f t="shared" si="131"/>
        <v>-5300</v>
      </c>
      <c r="Y191" s="1408">
        <f t="shared" si="132"/>
        <v>-4683.2199346116467</v>
      </c>
      <c r="Z191" s="1391" t="s">
        <v>1007</v>
      </c>
      <c r="AA191" s="1624">
        <v>50</v>
      </c>
      <c r="AB191" s="1257">
        <f>V191/50</f>
        <v>94</v>
      </c>
      <c r="AC191" s="1257">
        <f t="shared" si="133"/>
        <v>83.060881859149958</v>
      </c>
      <c r="AD191" s="1257">
        <f t="shared" si="105"/>
        <v>4700</v>
      </c>
      <c r="AE191" s="1257">
        <f t="shared" si="134"/>
        <v>4153.0440929574979</v>
      </c>
    </row>
    <row r="192" spans="1:31" ht="81" x14ac:dyDescent="0.3">
      <c r="A192" s="74"/>
      <c r="B192" s="63"/>
      <c r="C192" s="341" t="s">
        <v>503</v>
      </c>
      <c r="D192" s="1095" t="s">
        <v>864</v>
      </c>
      <c r="E192" s="1258"/>
      <c r="F192" s="1259"/>
      <c r="G192" s="1259"/>
      <c r="H192" s="1260">
        <f t="shared" si="124"/>
        <v>0</v>
      </c>
      <c r="I192" s="1252"/>
      <c r="J192" s="1257"/>
      <c r="K192" s="1624">
        <v>0</v>
      </c>
      <c r="L192" s="1257">
        <f t="shared" si="136"/>
        <v>0</v>
      </c>
      <c r="M192" s="1257">
        <f t="shared" si="125"/>
        <v>0</v>
      </c>
      <c r="N192" s="1257">
        <f t="shared" si="126"/>
        <v>0</v>
      </c>
      <c r="O192" s="1463">
        <f t="shared" si="135"/>
        <v>0</v>
      </c>
      <c r="P192" s="1488"/>
      <c r="Q192" s="1489"/>
      <c r="R192" s="1489"/>
      <c r="S192" s="1517">
        <v>45000</v>
      </c>
      <c r="T192" s="1487">
        <f t="shared" si="128"/>
        <v>45000</v>
      </c>
      <c r="U192" s="1490" t="s">
        <v>865</v>
      </c>
      <c r="V192" s="1407">
        <f t="shared" si="137"/>
        <v>45000</v>
      </c>
      <c r="W192" s="1451">
        <f t="shared" si="130"/>
        <v>39763.188124061147</v>
      </c>
      <c r="X192" s="1407">
        <f t="shared" si="131"/>
        <v>45000</v>
      </c>
      <c r="Y192" s="1408">
        <f t="shared" si="132"/>
        <v>39763.188124061147</v>
      </c>
      <c r="Z192" s="1391" t="s">
        <v>992</v>
      </c>
      <c r="AA192" s="1624">
        <v>2</v>
      </c>
      <c r="AB192" s="1257">
        <f>V192/2</f>
        <v>22500</v>
      </c>
      <c r="AC192" s="1257">
        <f t="shared" si="133"/>
        <v>19881.594062030574</v>
      </c>
      <c r="AD192" s="1257">
        <f t="shared" si="105"/>
        <v>45000</v>
      </c>
      <c r="AE192" s="1257">
        <f t="shared" si="134"/>
        <v>39763.188124061147</v>
      </c>
    </row>
    <row r="193" spans="1:31" ht="101.25" x14ac:dyDescent="0.3">
      <c r="A193" s="74"/>
      <c r="B193" s="1092"/>
      <c r="C193" s="341" t="s">
        <v>552</v>
      </c>
      <c r="D193" s="1095" t="s">
        <v>181</v>
      </c>
      <c r="E193" s="1258">
        <v>24400</v>
      </c>
      <c r="F193" s="1259"/>
      <c r="G193" s="1259"/>
      <c r="H193" s="1260">
        <f t="shared" si="124"/>
        <v>24400</v>
      </c>
      <c r="I193" s="1252" t="s">
        <v>182</v>
      </c>
      <c r="J193" s="1257"/>
      <c r="K193" s="1624">
        <v>300</v>
      </c>
      <c r="L193" s="1257">
        <f>H193/300</f>
        <v>81.333333333333329</v>
      </c>
      <c r="M193" s="1257">
        <f t="shared" si="125"/>
        <v>71.868280757562374</v>
      </c>
      <c r="N193" s="1257">
        <f t="shared" si="126"/>
        <v>24400</v>
      </c>
      <c r="O193" s="1463">
        <f t="shared" si="135"/>
        <v>21560.484227268713</v>
      </c>
      <c r="P193" s="1488"/>
      <c r="Q193" s="1489"/>
      <c r="R193" s="1489"/>
      <c r="S193" s="1517"/>
      <c r="T193" s="1487"/>
      <c r="U193" s="1490"/>
      <c r="V193" s="1407"/>
      <c r="W193" s="1451">
        <f t="shared" si="130"/>
        <v>0</v>
      </c>
      <c r="X193" s="1407">
        <f t="shared" si="131"/>
        <v>-24400</v>
      </c>
      <c r="Y193" s="1408">
        <f t="shared" si="132"/>
        <v>-21560.484227268713</v>
      </c>
      <c r="Z193" s="1391"/>
      <c r="AA193" s="1624"/>
      <c r="AB193" s="1257"/>
      <c r="AC193" s="1257"/>
      <c r="AD193" s="1257"/>
      <c r="AE193" s="1257">
        <f t="shared" si="134"/>
        <v>0</v>
      </c>
    </row>
    <row r="194" spans="1:31" ht="60.75" x14ac:dyDescent="0.3">
      <c r="A194" s="74"/>
      <c r="B194" s="204"/>
      <c r="C194" s="449" t="s">
        <v>504</v>
      </c>
      <c r="D194" s="1095" t="s">
        <v>983</v>
      </c>
      <c r="E194" s="1258"/>
      <c r="F194" s="1259"/>
      <c r="G194" s="1259"/>
      <c r="H194" s="1260">
        <f t="shared" si="124"/>
        <v>0</v>
      </c>
      <c r="I194" s="1252"/>
      <c r="J194" s="1257"/>
      <c r="K194" s="1624">
        <v>0</v>
      </c>
      <c r="L194" s="1257">
        <f t="shared" si="136"/>
        <v>0</v>
      </c>
      <c r="M194" s="1257">
        <f t="shared" si="125"/>
        <v>0</v>
      </c>
      <c r="N194" s="1257">
        <f t="shared" si="126"/>
        <v>0</v>
      </c>
      <c r="O194" s="1463">
        <f t="shared" si="135"/>
        <v>0</v>
      </c>
      <c r="P194" s="1488"/>
      <c r="Q194" s="1489"/>
      <c r="R194" s="1489"/>
      <c r="S194" s="1517">
        <v>5000</v>
      </c>
      <c r="T194" s="1487">
        <f t="shared" si="128"/>
        <v>5000</v>
      </c>
      <c r="U194" s="1490" t="s">
        <v>683</v>
      </c>
      <c r="V194" s="1407">
        <f t="shared" ref="V194:V199" si="143">P194+Q194+R194+S194</f>
        <v>5000</v>
      </c>
      <c r="W194" s="1451">
        <f t="shared" si="130"/>
        <v>4418.1320137845723</v>
      </c>
      <c r="X194" s="1407">
        <f t="shared" si="131"/>
        <v>5000</v>
      </c>
      <c r="Y194" s="1408">
        <f t="shared" si="132"/>
        <v>4418.1320137845723</v>
      </c>
      <c r="Z194" s="1391" t="s">
        <v>1071</v>
      </c>
      <c r="AA194" s="1624">
        <v>1000</v>
      </c>
      <c r="AB194" s="1257">
        <f>V194/1000</f>
        <v>5</v>
      </c>
      <c r="AC194" s="1257">
        <f t="shared" ref="AC194" si="144">AB194/1.1317</f>
        <v>4.4181320137845725</v>
      </c>
      <c r="AD194" s="1257">
        <f t="shared" ref="AD194" si="145">AA194*AB194</f>
        <v>5000</v>
      </c>
      <c r="AE194" s="1257">
        <f t="shared" si="134"/>
        <v>4418.1320137845723</v>
      </c>
    </row>
    <row r="195" spans="1:31" ht="60.75" x14ac:dyDescent="0.3">
      <c r="A195" s="74"/>
      <c r="B195" s="1092"/>
      <c r="C195" s="449" t="s">
        <v>505</v>
      </c>
      <c r="D195" s="1095" t="s">
        <v>506</v>
      </c>
      <c r="E195" s="1258"/>
      <c r="F195" s="1259"/>
      <c r="G195" s="1259"/>
      <c r="H195" s="1260">
        <f t="shared" si="124"/>
        <v>0</v>
      </c>
      <c r="I195" s="1252"/>
      <c r="J195" s="1257"/>
      <c r="K195" s="1624">
        <v>0</v>
      </c>
      <c r="L195" s="1257">
        <f t="shared" si="136"/>
        <v>0</v>
      </c>
      <c r="M195" s="1257">
        <f t="shared" si="125"/>
        <v>0</v>
      </c>
      <c r="N195" s="1257">
        <f t="shared" si="126"/>
        <v>0</v>
      </c>
      <c r="O195" s="1463">
        <f t="shared" si="135"/>
        <v>0</v>
      </c>
      <c r="P195" s="1488"/>
      <c r="Q195" s="1489">
        <v>8050</v>
      </c>
      <c r="R195" s="1489">
        <f>4730</f>
        <v>4730</v>
      </c>
      <c r="S195" s="1489">
        <f>6000</f>
        <v>6000</v>
      </c>
      <c r="T195" s="1487">
        <f>SUM(P195:S195)</f>
        <v>18780</v>
      </c>
      <c r="U195" s="1490" t="s">
        <v>1055</v>
      </c>
      <c r="V195" s="1407">
        <f t="shared" si="143"/>
        <v>18780</v>
      </c>
      <c r="W195" s="1451">
        <f t="shared" si="130"/>
        <v>16594.503843774852</v>
      </c>
      <c r="X195" s="1407">
        <f t="shared" si="131"/>
        <v>18780</v>
      </c>
      <c r="Y195" s="1408">
        <f t="shared" si="132"/>
        <v>16594.503843774852</v>
      </c>
      <c r="Z195" s="1391" t="s">
        <v>1013</v>
      </c>
      <c r="AA195" s="1624">
        <v>4</v>
      </c>
      <c r="AB195" s="1257">
        <f>V195/4</f>
        <v>4695</v>
      </c>
      <c r="AC195" s="1257">
        <f>AB195/1.1317</f>
        <v>4148.6259609437129</v>
      </c>
      <c r="AD195" s="1257">
        <f>AA195*AB195</f>
        <v>18780</v>
      </c>
      <c r="AE195" s="1257">
        <f t="shared" si="134"/>
        <v>16594.503843774852</v>
      </c>
    </row>
    <row r="196" spans="1:31" ht="40.5" x14ac:dyDescent="0.3">
      <c r="A196" s="74"/>
      <c r="B196" s="63"/>
      <c r="C196" s="342" t="s">
        <v>507</v>
      </c>
      <c r="D196" s="1124" t="s">
        <v>744</v>
      </c>
      <c r="E196" s="1258"/>
      <c r="F196" s="1259"/>
      <c r="G196" s="1259"/>
      <c r="H196" s="1260">
        <f t="shared" si="124"/>
        <v>0</v>
      </c>
      <c r="I196" s="1252"/>
      <c r="J196" s="1257"/>
      <c r="K196" s="1624">
        <v>0</v>
      </c>
      <c r="L196" s="1257">
        <f t="shared" si="136"/>
        <v>0</v>
      </c>
      <c r="M196" s="1257">
        <f t="shared" si="125"/>
        <v>0</v>
      </c>
      <c r="N196" s="1257">
        <f t="shared" si="126"/>
        <v>0</v>
      </c>
      <c r="O196" s="1463">
        <f t="shared" si="135"/>
        <v>0</v>
      </c>
      <c r="P196" s="1516">
        <v>0</v>
      </c>
      <c r="Q196" s="1517">
        <v>6500</v>
      </c>
      <c r="R196" s="1517">
        <v>6500</v>
      </c>
      <c r="S196" s="1517"/>
      <c r="T196" s="1487">
        <f t="shared" si="128"/>
        <v>13000</v>
      </c>
      <c r="U196" s="1490" t="s">
        <v>509</v>
      </c>
      <c r="V196" s="1407">
        <f t="shared" si="143"/>
        <v>13000</v>
      </c>
      <c r="W196" s="1451">
        <f t="shared" si="130"/>
        <v>11487.143235839887</v>
      </c>
      <c r="X196" s="1407">
        <f t="shared" si="131"/>
        <v>13000</v>
      </c>
      <c r="Y196" s="1408">
        <f t="shared" si="132"/>
        <v>11487.143235839887</v>
      </c>
      <c r="Z196" s="1391" t="s">
        <v>1013</v>
      </c>
      <c r="AA196" s="1624">
        <v>3</v>
      </c>
      <c r="AB196" s="1257">
        <f>V196/3</f>
        <v>4333.333333333333</v>
      </c>
      <c r="AC196" s="1257">
        <f t="shared" si="133"/>
        <v>3829.0477452799623</v>
      </c>
      <c r="AD196" s="1257">
        <f t="shared" si="105"/>
        <v>13000</v>
      </c>
      <c r="AE196" s="1257">
        <f t="shared" si="134"/>
        <v>11487.143235839887</v>
      </c>
    </row>
    <row r="197" spans="1:31" ht="40.5" x14ac:dyDescent="0.3">
      <c r="A197" s="74"/>
      <c r="B197" s="63"/>
      <c r="C197" s="332" t="s">
        <v>510</v>
      </c>
      <c r="D197" s="1110" t="s">
        <v>743</v>
      </c>
      <c r="E197" s="1258"/>
      <c r="F197" s="1259"/>
      <c r="G197" s="1259"/>
      <c r="H197" s="1260">
        <f t="shared" si="124"/>
        <v>0</v>
      </c>
      <c r="I197" s="1252"/>
      <c r="J197" s="1257"/>
      <c r="K197" s="1624">
        <v>0</v>
      </c>
      <c r="L197" s="1257">
        <f t="shared" si="136"/>
        <v>0</v>
      </c>
      <c r="M197" s="1257">
        <f t="shared" si="125"/>
        <v>0</v>
      </c>
      <c r="N197" s="1257">
        <f t="shared" si="126"/>
        <v>0</v>
      </c>
      <c r="O197" s="1463">
        <f t="shared" si="135"/>
        <v>0</v>
      </c>
      <c r="P197" s="1488">
        <v>15230</v>
      </c>
      <c r="Q197" s="1489">
        <v>10990</v>
      </c>
      <c r="R197" s="1489">
        <f>4000</f>
        <v>4000</v>
      </c>
      <c r="S197" s="1517">
        <v>2000</v>
      </c>
      <c r="T197" s="1487">
        <f t="shared" si="128"/>
        <v>32220</v>
      </c>
      <c r="U197" s="1490" t="s">
        <v>890</v>
      </c>
      <c r="V197" s="1407">
        <f t="shared" si="143"/>
        <v>32220</v>
      </c>
      <c r="W197" s="1451">
        <f t="shared" si="130"/>
        <v>28470.442696827784</v>
      </c>
      <c r="X197" s="1407">
        <f t="shared" si="131"/>
        <v>32220</v>
      </c>
      <c r="Y197" s="1408">
        <f t="shared" si="132"/>
        <v>28470.442696827784</v>
      </c>
      <c r="Z197" s="1391" t="s">
        <v>1013</v>
      </c>
      <c r="AA197" s="1624">
        <v>4</v>
      </c>
      <c r="AB197" s="1257">
        <f>V197/4</f>
        <v>8055</v>
      </c>
      <c r="AC197" s="1257">
        <f t="shared" si="133"/>
        <v>7117.610674206946</v>
      </c>
      <c r="AD197" s="1257">
        <f t="shared" si="105"/>
        <v>32220</v>
      </c>
      <c r="AE197" s="1257">
        <f t="shared" si="134"/>
        <v>28470.442696827784</v>
      </c>
    </row>
    <row r="198" spans="1:31" ht="20.25" x14ac:dyDescent="0.3">
      <c r="A198" s="74"/>
      <c r="B198" s="204"/>
      <c r="C198" s="454" t="s">
        <v>570</v>
      </c>
      <c r="D198" s="1110" t="s">
        <v>684</v>
      </c>
      <c r="E198" s="1258"/>
      <c r="F198" s="1259"/>
      <c r="G198" s="1259"/>
      <c r="H198" s="1260">
        <f t="shared" si="124"/>
        <v>0</v>
      </c>
      <c r="I198" s="1252"/>
      <c r="J198" s="1257"/>
      <c r="K198" s="1624">
        <v>0</v>
      </c>
      <c r="L198" s="1257">
        <f t="shared" si="136"/>
        <v>0</v>
      </c>
      <c r="M198" s="1257">
        <f t="shared" si="125"/>
        <v>0</v>
      </c>
      <c r="N198" s="1257">
        <f t="shared" si="126"/>
        <v>0</v>
      </c>
      <c r="O198" s="1463">
        <f t="shared" si="135"/>
        <v>0</v>
      </c>
      <c r="P198" s="1516"/>
      <c r="Q198" s="1517"/>
      <c r="R198" s="1517"/>
      <c r="S198" s="1517"/>
      <c r="T198" s="1487">
        <f t="shared" ref="T198" si="146">SUM(P198:S198)</f>
        <v>0</v>
      </c>
      <c r="U198" s="1490"/>
      <c r="V198" s="1407">
        <f t="shared" si="143"/>
        <v>0</v>
      </c>
      <c r="W198" s="1451">
        <f t="shared" si="130"/>
        <v>0</v>
      </c>
      <c r="X198" s="1407">
        <f t="shared" si="131"/>
        <v>0</v>
      </c>
      <c r="Y198" s="1408">
        <f t="shared" si="132"/>
        <v>0</v>
      </c>
      <c r="Z198" s="1391"/>
      <c r="AA198" s="1624"/>
      <c r="AB198" s="1257"/>
      <c r="AC198" s="1257"/>
      <c r="AD198" s="1257"/>
      <c r="AE198" s="1257">
        <f t="shared" si="134"/>
        <v>0</v>
      </c>
    </row>
    <row r="199" spans="1:31" ht="40.5" x14ac:dyDescent="0.3">
      <c r="A199" s="57"/>
      <c r="B199" s="63"/>
      <c r="C199" s="332" t="s">
        <v>511</v>
      </c>
      <c r="D199" s="1110" t="s">
        <v>742</v>
      </c>
      <c r="E199" s="1258"/>
      <c r="F199" s="1259"/>
      <c r="G199" s="1259"/>
      <c r="H199" s="1260">
        <f t="shared" si="124"/>
        <v>0</v>
      </c>
      <c r="I199" s="1252"/>
      <c r="J199" s="1257"/>
      <c r="K199" s="1624">
        <v>0</v>
      </c>
      <c r="L199" s="1257">
        <f t="shared" si="136"/>
        <v>0</v>
      </c>
      <c r="M199" s="1257">
        <f t="shared" si="125"/>
        <v>0</v>
      </c>
      <c r="N199" s="1257">
        <f t="shared" si="126"/>
        <v>0</v>
      </c>
      <c r="O199" s="1463">
        <f t="shared" si="135"/>
        <v>0</v>
      </c>
      <c r="P199" s="1488"/>
      <c r="Q199" s="1489">
        <v>11260</v>
      </c>
      <c r="R199" s="1489">
        <v>20000</v>
      </c>
      <c r="S199" s="1517">
        <f>30000</f>
        <v>30000</v>
      </c>
      <c r="T199" s="1487">
        <f t="shared" si="128"/>
        <v>61260</v>
      </c>
      <c r="U199" s="1490" t="s">
        <v>897</v>
      </c>
      <c r="V199" s="1407">
        <f t="shared" si="143"/>
        <v>61260</v>
      </c>
      <c r="W199" s="1451">
        <f t="shared" si="130"/>
        <v>54130.953432888578</v>
      </c>
      <c r="X199" s="1407">
        <f t="shared" si="131"/>
        <v>61260</v>
      </c>
      <c r="Y199" s="1408">
        <f t="shared" si="132"/>
        <v>54130.953432888578</v>
      </c>
      <c r="Z199" s="1391" t="s">
        <v>1011</v>
      </c>
      <c r="AA199" s="1624">
        <v>24</v>
      </c>
      <c r="AB199" s="1257">
        <f>V199/24</f>
        <v>2552.5</v>
      </c>
      <c r="AC199" s="1257">
        <f t="shared" si="133"/>
        <v>2255.4563930370241</v>
      </c>
      <c r="AD199" s="1257">
        <f t="shared" si="105"/>
        <v>61260</v>
      </c>
      <c r="AE199" s="1257">
        <f t="shared" si="134"/>
        <v>54130.953432888578</v>
      </c>
    </row>
    <row r="200" spans="1:31" ht="33" customHeight="1" thickBot="1" x14ac:dyDescent="0.35">
      <c r="A200" s="57"/>
      <c r="B200" s="138"/>
      <c r="C200" s="752"/>
      <c r="D200" s="1114"/>
      <c r="E200" s="1262"/>
      <c r="F200" s="1263"/>
      <c r="G200" s="1263"/>
      <c r="H200" s="1264"/>
      <c r="I200" s="1252"/>
      <c r="J200" s="1265"/>
      <c r="K200" s="1625"/>
      <c r="L200" s="1265"/>
      <c r="M200" s="1265"/>
      <c r="N200" s="1265"/>
      <c r="O200" s="1464"/>
      <c r="P200" s="1492"/>
      <c r="Q200" s="1493"/>
      <c r="R200" s="1493"/>
      <c r="S200" s="1493"/>
      <c r="T200" s="1493"/>
      <c r="U200" s="1494"/>
      <c r="V200" s="1409"/>
      <c r="W200" s="1410"/>
      <c r="X200" s="1409"/>
      <c r="Y200" s="1410"/>
      <c r="Z200" s="1392"/>
      <c r="AA200" s="1625"/>
      <c r="AB200" s="1265"/>
      <c r="AC200" s="1265"/>
      <c r="AD200" s="1265"/>
      <c r="AE200" s="1265"/>
    </row>
    <row r="201" spans="1:31" ht="32.25" customHeight="1" thickBot="1" x14ac:dyDescent="0.35">
      <c r="A201" s="226"/>
      <c r="B201" s="230" t="s">
        <v>45</v>
      </c>
      <c r="C201" s="746"/>
      <c r="D201" s="1115"/>
      <c r="E201" s="1173">
        <f>SUM(E175:E199)</f>
        <v>380630.91000000003</v>
      </c>
      <c r="F201" s="1174">
        <f t="shared" ref="F201:H201" si="147">SUM(F175:F199)</f>
        <v>224106.13</v>
      </c>
      <c r="G201" s="1174">
        <f t="shared" si="147"/>
        <v>171173.16</v>
      </c>
      <c r="H201" s="1175">
        <f t="shared" si="147"/>
        <v>775910.2</v>
      </c>
      <c r="I201" s="1252"/>
      <c r="J201" s="748"/>
      <c r="K201" s="1652"/>
      <c r="L201" s="748"/>
      <c r="M201" s="748"/>
      <c r="N201" s="748">
        <f t="shared" ref="N201:T201" si="148">SUM(N175:N200)</f>
        <v>775910.2</v>
      </c>
      <c r="O201" s="1477">
        <f>SUM(O175:O200)+0.26</f>
        <v>685614.99888839794</v>
      </c>
      <c r="P201" s="1432">
        <f t="shared" si="148"/>
        <v>171394</v>
      </c>
      <c r="Q201" s="1532">
        <f t="shared" si="148"/>
        <v>282803.67</v>
      </c>
      <c r="R201" s="1532">
        <f t="shared" si="148"/>
        <v>260702</v>
      </c>
      <c r="S201" s="1532">
        <f t="shared" si="148"/>
        <v>263327</v>
      </c>
      <c r="T201" s="1532">
        <f t="shared" si="148"/>
        <v>978226.67</v>
      </c>
      <c r="U201" s="1433"/>
      <c r="V201" s="1432">
        <f>SUM(V175:V200)</f>
        <v>978226.67</v>
      </c>
      <c r="W201" s="1433">
        <f>SUM(W175:W200)</f>
        <v>864386.91349297517</v>
      </c>
      <c r="X201" s="1432">
        <f>SUM(X175:X200)</f>
        <v>202316.46999999997</v>
      </c>
      <c r="Y201" s="1433">
        <f>SUM(Y175:Y200)</f>
        <v>178772.17460457719</v>
      </c>
      <c r="Z201" s="1301"/>
      <c r="AA201" s="1652"/>
      <c r="AB201" s="748"/>
      <c r="AC201" s="748"/>
      <c r="AD201" s="748">
        <f>SUM(AD175:AD200)</f>
        <v>978226.67</v>
      </c>
      <c r="AE201" s="748">
        <f>SUM(AE175:AE200)</f>
        <v>864386.91349297517</v>
      </c>
    </row>
    <row r="202" spans="1:31" ht="20.25" x14ac:dyDescent="0.3">
      <c r="A202" s="224"/>
      <c r="B202" s="142"/>
      <c r="C202" s="64"/>
      <c r="D202" s="1119"/>
      <c r="E202" s="1170"/>
      <c r="F202" s="1171"/>
      <c r="G202" s="1171"/>
      <c r="H202" s="1172"/>
      <c r="I202" s="1252"/>
      <c r="J202" s="749"/>
      <c r="K202" s="1650"/>
      <c r="L202" s="749"/>
      <c r="M202" s="749"/>
      <c r="N202" s="749"/>
      <c r="O202" s="1466"/>
      <c r="P202" s="1533"/>
      <c r="Q202" s="1534"/>
      <c r="R202" s="1534"/>
      <c r="S202" s="1534"/>
      <c r="T202" s="1534"/>
      <c r="U202" s="1414"/>
      <c r="V202" s="1413"/>
      <c r="W202" s="1442"/>
      <c r="X202" s="1413"/>
      <c r="Y202" s="1414"/>
      <c r="Z202" s="1384"/>
      <c r="AA202" s="1650"/>
      <c r="AB202" s="749"/>
      <c r="AC202" s="749"/>
      <c r="AD202" s="749"/>
      <c r="AE202" s="749"/>
    </row>
    <row r="203" spans="1:31" ht="91.5" customHeight="1" x14ac:dyDescent="0.3">
      <c r="A203" s="67" t="s">
        <v>184</v>
      </c>
      <c r="B203" s="2742" t="s">
        <v>185</v>
      </c>
      <c r="C203" s="2743"/>
      <c r="D203" s="2744"/>
      <c r="E203" s="1147"/>
      <c r="F203" s="1148"/>
      <c r="G203" s="1148"/>
      <c r="H203" s="1149"/>
      <c r="I203" s="1252"/>
      <c r="J203" s="734"/>
      <c r="K203" s="1653"/>
      <c r="L203" s="734"/>
      <c r="M203" s="734"/>
      <c r="N203" s="734"/>
      <c r="O203" s="1478"/>
      <c r="P203" s="1512"/>
      <c r="Q203" s="831"/>
      <c r="R203" s="831"/>
      <c r="S203" s="831"/>
      <c r="T203" s="831"/>
      <c r="U203" s="832"/>
      <c r="V203" s="1415"/>
      <c r="W203" s="1452"/>
      <c r="X203" s="1415"/>
      <c r="Y203" s="1416"/>
      <c r="Z203" s="1396"/>
      <c r="AA203" s="1653"/>
      <c r="AB203" s="734"/>
      <c r="AC203" s="734"/>
      <c r="AD203" s="734"/>
      <c r="AE203" s="734"/>
    </row>
    <row r="204" spans="1:31" ht="81" x14ac:dyDescent="0.3">
      <c r="A204" s="74"/>
      <c r="B204" s="347"/>
      <c r="C204" s="348" t="s">
        <v>186</v>
      </c>
      <c r="D204" s="1125" t="s">
        <v>187</v>
      </c>
      <c r="E204" s="1258">
        <f>26195</f>
        <v>26195</v>
      </c>
      <c r="F204" s="1259">
        <v>21025</v>
      </c>
      <c r="G204" s="1259"/>
      <c r="H204" s="1260">
        <f t="shared" ref="H204:H254" si="149">SUM(E204:G204)</f>
        <v>47220</v>
      </c>
      <c r="I204" s="1252" t="s">
        <v>188</v>
      </c>
      <c r="J204" s="1257" t="s">
        <v>993</v>
      </c>
      <c r="K204" s="1624">
        <v>40</v>
      </c>
      <c r="L204" s="1257">
        <f>H204/40</f>
        <v>1180.5</v>
      </c>
      <c r="M204" s="1257">
        <f t="shared" ref="M204:M254" si="150">L204/1.1317</f>
        <v>1043.1209684545374</v>
      </c>
      <c r="N204" s="1257">
        <f t="shared" ref="N204:N254" si="151">K204*L204</f>
        <v>47220</v>
      </c>
      <c r="O204" s="1463">
        <f t="shared" ref="O204:O254" si="152">N204/1.1317</f>
        <v>41724.838738181497</v>
      </c>
      <c r="P204" s="1488"/>
      <c r="Q204" s="1489">
        <f>24600</f>
        <v>24600</v>
      </c>
      <c r="R204" s="1489">
        <f>20100</f>
        <v>20100</v>
      </c>
      <c r="S204" s="1489">
        <v>19263.7</v>
      </c>
      <c r="T204" s="1487">
        <f t="shared" ref="T204:T227" si="153">SUM(P204:S204)</f>
        <v>63963.7</v>
      </c>
      <c r="U204" s="1490" t="s">
        <v>1060</v>
      </c>
      <c r="V204" s="1407">
        <f>P204+Q204+R204+S204</f>
        <v>63963.7</v>
      </c>
      <c r="W204" s="1451">
        <f t="shared" ref="W204:W254" si="154">V204/1.1317</f>
        <v>56520.014138022445</v>
      </c>
      <c r="X204" s="1407">
        <f t="shared" ref="X204:X235" si="155">V204-N204</f>
        <v>16743.699999999997</v>
      </c>
      <c r="Y204" s="1408">
        <f t="shared" ref="Y204:Y235" si="156">W204-O204</f>
        <v>14795.175399840948</v>
      </c>
      <c r="Z204" s="1391" t="s">
        <v>993</v>
      </c>
      <c r="AA204" s="1624">
        <v>45</v>
      </c>
      <c r="AB204" s="1257">
        <f>V204/45</f>
        <v>1421.4155555555556</v>
      </c>
      <c r="AC204" s="1257">
        <f t="shared" ref="AC204:AC227" si="157">AB204/1.1317</f>
        <v>1256.0003141782765</v>
      </c>
      <c r="AD204" s="1257">
        <f t="shared" ref="AD204:AD254" si="158">AA204*AB204</f>
        <v>63963.7</v>
      </c>
      <c r="AE204" s="1257">
        <f t="shared" ref="AE204:AE254" si="159">AD204/1.1317</f>
        <v>56520.014138022445</v>
      </c>
    </row>
    <row r="205" spans="1:31" ht="60.75" x14ac:dyDescent="0.3">
      <c r="A205" s="74"/>
      <c r="B205" s="462"/>
      <c r="C205" s="444" t="s">
        <v>186</v>
      </c>
      <c r="D205" s="1095" t="s">
        <v>685</v>
      </c>
      <c r="E205" s="1258"/>
      <c r="F205" s="1259"/>
      <c r="G205" s="1259"/>
      <c r="H205" s="1260">
        <f t="shared" si="149"/>
        <v>0</v>
      </c>
      <c r="I205" s="1252"/>
      <c r="J205" s="1257"/>
      <c r="K205" s="1624">
        <v>0</v>
      </c>
      <c r="L205" s="1257">
        <f t="shared" ref="L205:L254" si="160">H205/5</f>
        <v>0</v>
      </c>
      <c r="M205" s="1257">
        <f t="shared" si="150"/>
        <v>0</v>
      </c>
      <c r="N205" s="1257">
        <f t="shared" si="151"/>
        <v>0</v>
      </c>
      <c r="O205" s="1463">
        <f t="shared" si="152"/>
        <v>0</v>
      </c>
      <c r="P205" s="1488"/>
      <c r="Q205" s="1489"/>
      <c r="R205" s="1489"/>
      <c r="S205" s="1489">
        <v>4725</v>
      </c>
      <c r="T205" s="1489">
        <f>SUM(P205:S205)</f>
        <v>4725</v>
      </c>
      <c r="U205" s="1490" t="s">
        <v>875</v>
      </c>
      <c r="V205" s="1407">
        <f>P205+Q205+R205+S205</f>
        <v>4725</v>
      </c>
      <c r="W205" s="1451">
        <f t="shared" si="154"/>
        <v>4175.1347530264211</v>
      </c>
      <c r="X205" s="1407">
        <f t="shared" si="155"/>
        <v>4725</v>
      </c>
      <c r="Y205" s="1408">
        <f t="shared" si="156"/>
        <v>4175.1347530264211</v>
      </c>
      <c r="Z205" s="1391" t="s">
        <v>993</v>
      </c>
      <c r="AA205" s="1624">
        <v>50</v>
      </c>
      <c r="AB205" s="1257">
        <f>V205/50</f>
        <v>94.5</v>
      </c>
      <c r="AC205" s="1257">
        <f t="shared" ref="AC205" si="161">AB205/1.1317</f>
        <v>83.50269506052841</v>
      </c>
      <c r="AD205" s="1257">
        <f t="shared" ref="AD205" si="162">AA205*AB205</f>
        <v>4725</v>
      </c>
      <c r="AE205" s="1257">
        <f t="shared" si="159"/>
        <v>4175.1347530264211</v>
      </c>
    </row>
    <row r="206" spans="1:31" ht="60.75" x14ac:dyDescent="0.3">
      <c r="A206" s="224"/>
      <c r="B206" s="231"/>
      <c r="C206" s="207" t="s">
        <v>189</v>
      </c>
      <c r="D206" s="1126" t="s">
        <v>190</v>
      </c>
      <c r="E206" s="1258">
        <f>6000</f>
        <v>6000</v>
      </c>
      <c r="F206" s="1259"/>
      <c r="G206" s="1259"/>
      <c r="H206" s="1260">
        <f t="shared" si="149"/>
        <v>6000</v>
      </c>
      <c r="I206" s="1252" t="s">
        <v>191</v>
      </c>
      <c r="J206" s="1257" t="s">
        <v>1001</v>
      </c>
      <c r="K206" s="1624">
        <v>15</v>
      </c>
      <c r="L206" s="1257">
        <f>H206/15</f>
        <v>400</v>
      </c>
      <c r="M206" s="1257">
        <f t="shared" si="150"/>
        <v>353.45056110276579</v>
      </c>
      <c r="N206" s="1257">
        <f t="shared" si="151"/>
        <v>6000</v>
      </c>
      <c r="O206" s="1463">
        <f t="shared" si="152"/>
        <v>5301.7584165414864</v>
      </c>
      <c r="P206" s="1488">
        <v>1900</v>
      </c>
      <c r="Q206" s="1489">
        <v>7200</v>
      </c>
      <c r="R206" s="1489">
        <f>5453.13+854</f>
        <v>6307.13</v>
      </c>
      <c r="S206" s="1489"/>
      <c r="T206" s="1487">
        <f t="shared" si="153"/>
        <v>15407.130000000001</v>
      </c>
      <c r="U206" s="1490" t="s">
        <v>1058</v>
      </c>
      <c r="V206" s="1407">
        <f>P206+Q206+R206+S206</f>
        <v>15407.130000000001</v>
      </c>
      <c r="W206" s="1451">
        <f t="shared" si="154"/>
        <v>13614.14685870814</v>
      </c>
      <c r="X206" s="1407">
        <f t="shared" si="155"/>
        <v>9407.130000000001</v>
      </c>
      <c r="Y206" s="1408">
        <f t="shared" si="156"/>
        <v>8312.3884421666535</v>
      </c>
      <c r="Z206" s="1391" t="s">
        <v>1001</v>
      </c>
      <c r="AA206" s="1624">
        <v>15</v>
      </c>
      <c r="AB206" s="1257">
        <f>V206/15</f>
        <v>1027.1420000000001</v>
      </c>
      <c r="AC206" s="1257">
        <f t="shared" si="157"/>
        <v>907.60979058054261</v>
      </c>
      <c r="AD206" s="1257">
        <f t="shared" si="158"/>
        <v>15407.130000000001</v>
      </c>
      <c r="AE206" s="1257">
        <f t="shared" si="159"/>
        <v>13614.14685870814</v>
      </c>
    </row>
    <row r="207" spans="1:31" ht="60.75" x14ac:dyDescent="0.3">
      <c r="A207" s="74"/>
      <c r="B207" s="1106"/>
      <c r="C207" s="207" t="s">
        <v>553</v>
      </c>
      <c r="D207" s="1126" t="s">
        <v>192</v>
      </c>
      <c r="E207" s="1258">
        <f>6400</f>
        <v>6400</v>
      </c>
      <c r="F207" s="1259"/>
      <c r="G207" s="1259"/>
      <c r="H207" s="1260">
        <f t="shared" si="149"/>
        <v>6400</v>
      </c>
      <c r="I207" s="1252" t="s">
        <v>193</v>
      </c>
      <c r="J207" s="1257" t="s">
        <v>1014</v>
      </c>
      <c r="K207" s="1624">
        <v>800</v>
      </c>
      <c r="L207" s="1257">
        <f>H207/800</f>
        <v>8</v>
      </c>
      <c r="M207" s="1257">
        <f t="shared" si="150"/>
        <v>7.0690112220553152</v>
      </c>
      <c r="N207" s="1257">
        <f t="shared" si="151"/>
        <v>6400</v>
      </c>
      <c r="O207" s="1463">
        <f t="shared" si="152"/>
        <v>5655.2089776442526</v>
      </c>
      <c r="P207" s="1488"/>
      <c r="Q207" s="1489"/>
      <c r="R207" s="1489"/>
      <c r="S207" s="1489"/>
      <c r="T207" s="1487"/>
      <c r="U207" s="1490"/>
      <c r="V207" s="1407"/>
      <c r="W207" s="1451">
        <f t="shared" si="154"/>
        <v>0</v>
      </c>
      <c r="X207" s="1407">
        <f t="shared" si="155"/>
        <v>-6400</v>
      </c>
      <c r="Y207" s="1408">
        <f t="shared" si="156"/>
        <v>-5655.2089776442526</v>
      </c>
      <c r="Z207" s="1391" t="s">
        <v>1014</v>
      </c>
      <c r="AA207" s="1624"/>
      <c r="AB207" s="1257"/>
      <c r="AC207" s="1257"/>
      <c r="AD207" s="1257"/>
      <c r="AE207" s="1257">
        <f t="shared" si="159"/>
        <v>0</v>
      </c>
    </row>
    <row r="208" spans="1:31" ht="121.5" x14ac:dyDescent="0.3">
      <c r="A208" s="74"/>
      <c r="B208" s="1092"/>
      <c r="C208" s="207" t="s">
        <v>194</v>
      </c>
      <c r="D208" s="2235" t="s">
        <v>554</v>
      </c>
      <c r="E208" s="1258">
        <f>10250</f>
        <v>10250</v>
      </c>
      <c r="F208" s="1259">
        <f>10250</f>
        <v>10250</v>
      </c>
      <c r="G208" s="1259"/>
      <c r="H208" s="1260">
        <f t="shared" si="149"/>
        <v>20500</v>
      </c>
      <c r="I208" s="1252" t="s">
        <v>195</v>
      </c>
      <c r="J208" s="1257" t="s">
        <v>1015</v>
      </c>
      <c r="K208" s="1624">
        <v>10</v>
      </c>
      <c r="L208" s="1257">
        <f>H208/10</f>
        <v>2050</v>
      </c>
      <c r="M208" s="1257">
        <f t="shared" si="150"/>
        <v>1811.4341256516745</v>
      </c>
      <c r="N208" s="1257">
        <f t="shared" si="151"/>
        <v>20500</v>
      </c>
      <c r="O208" s="1463">
        <f t="shared" si="152"/>
        <v>18114.341256516745</v>
      </c>
      <c r="P208" s="1488">
        <f>14700</f>
        <v>14700</v>
      </c>
      <c r="Q208" s="1489"/>
      <c r="R208" s="1489"/>
      <c r="S208" s="1489"/>
      <c r="T208" s="1487">
        <f t="shared" si="153"/>
        <v>14700</v>
      </c>
      <c r="U208" s="1490" t="s">
        <v>612</v>
      </c>
      <c r="V208" s="1407">
        <f t="shared" ref="V208:V213" si="163">P208+Q208+R208+S208</f>
        <v>14700</v>
      </c>
      <c r="W208" s="1451">
        <f t="shared" si="154"/>
        <v>12989.308120526643</v>
      </c>
      <c r="X208" s="1407">
        <f t="shared" si="155"/>
        <v>-5800</v>
      </c>
      <c r="Y208" s="1408">
        <f t="shared" si="156"/>
        <v>-5125.0331359901029</v>
      </c>
      <c r="Z208" s="1391" t="s">
        <v>1015</v>
      </c>
      <c r="AA208" s="1624">
        <v>10</v>
      </c>
      <c r="AB208" s="1257">
        <f>V208/10</f>
        <v>1470</v>
      </c>
      <c r="AC208" s="1257">
        <f t="shared" si="157"/>
        <v>1298.9308120526641</v>
      </c>
      <c r="AD208" s="1257">
        <f t="shared" si="158"/>
        <v>14700</v>
      </c>
      <c r="AE208" s="1257">
        <f t="shared" si="159"/>
        <v>12989.308120526643</v>
      </c>
    </row>
    <row r="209" spans="1:31" ht="101.25" x14ac:dyDescent="0.3">
      <c r="A209" s="74"/>
      <c r="B209" s="63"/>
      <c r="C209" s="349" t="s">
        <v>555</v>
      </c>
      <c r="D209" s="1095" t="s">
        <v>513</v>
      </c>
      <c r="E209" s="1258"/>
      <c r="F209" s="1259">
        <f>27000</f>
        <v>27000</v>
      </c>
      <c r="G209" s="1259"/>
      <c r="H209" s="1260">
        <f t="shared" si="149"/>
        <v>27000</v>
      </c>
      <c r="I209" s="1252" t="s">
        <v>196</v>
      </c>
      <c r="J209" s="1257" t="s">
        <v>1016</v>
      </c>
      <c r="K209" s="1624">
        <v>3</v>
      </c>
      <c r="L209" s="1257">
        <f>H209/3</f>
        <v>9000</v>
      </c>
      <c r="M209" s="1257">
        <f t="shared" si="150"/>
        <v>7952.6376248122297</v>
      </c>
      <c r="N209" s="1257">
        <f t="shared" si="151"/>
        <v>27000</v>
      </c>
      <c r="O209" s="1463">
        <f t="shared" si="152"/>
        <v>23857.91287443669</v>
      </c>
      <c r="P209" s="1535">
        <v>1700</v>
      </c>
      <c r="Q209" s="1536"/>
      <c r="R209" s="1536"/>
      <c r="S209" s="1489"/>
      <c r="T209" s="1487">
        <f t="shared" si="153"/>
        <v>1700</v>
      </c>
      <c r="U209" s="1490" t="s">
        <v>613</v>
      </c>
      <c r="V209" s="1407">
        <f t="shared" si="163"/>
        <v>1700</v>
      </c>
      <c r="W209" s="1451">
        <f t="shared" si="154"/>
        <v>1502.1648846867545</v>
      </c>
      <c r="X209" s="1407">
        <f t="shared" si="155"/>
        <v>-25300</v>
      </c>
      <c r="Y209" s="1408">
        <f t="shared" si="156"/>
        <v>-22355.747989749936</v>
      </c>
      <c r="Z209" s="1391" t="s">
        <v>1072</v>
      </c>
      <c r="AA209" s="1624">
        <v>200</v>
      </c>
      <c r="AB209" s="1257">
        <f>V209/200</f>
        <v>8.5</v>
      </c>
      <c r="AC209" s="1257">
        <f t="shared" si="157"/>
        <v>7.5108244234337729</v>
      </c>
      <c r="AD209" s="1257">
        <f t="shared" si="158"/>
        <v>1700</v>
      </c>
      <c r="AE209" s="1257">
        <f t="shared" si="159"/>
        <v>1502.1648846867545</v>
      </c>
    </row>
    <row r="210" spans="1:31" ht="40.5" x14ac:dyDescent="0.3">
      <c r="A210" s="74"/>
      <c r="B210" s="63"/>
      <c r="C210" s="350" t="s">
        <v>197</v>
      </c>
      <c r="D210" s="1110" t="s">
        <v>556</v>
      </c>
      <c r="E210" s="1258">
        <f>20800</f>
        <v>20800</v>
      </c>
      <c r="F210" s="1259"/>
      <c r="G210" s="1259"/>
      <c r="H210" s="1260">
        <f t="shared" si="149"/>
        <v>20800</v>
      </c>
      <c r="I210" s="1253" t="s">
        <v>198</v>
      </c>
      <c r="J210" s="1257" t="s">
        <v>1017</v>
      </c>
      <c r="K210" s="1624">
        <v>26</v>
      </c>
      <c r="L210" s="1257">
        <f>H210/26</f>
        <v>800</v>
      </c>
      <c r="M210" s="1257">
        <f t="shared" si="150"/>
        <v>706.90112220553158</v>
      </c>
      <c r="N210" s="1257">
        <f t="shared" si="151"/>
        <v>20800</v>
      </c>
      <c r="O210" s="1463">
        <f t="shared" si="152"/>
        <v>18379.42917734382</v>
      </c>
      <c r="P210" s="1488"/>
      <c r="Q210" s="1489">
        <f>26*858.7</f>
        <v>22326.2</v>
      </c>
      <c r="R210" s="1489"/>
      <c r="S210" s="1489"/>
      <c r="T210" s="1487">
        <f t="shared" si="153"/>
        <v>22326.2</v>
      </c>
      <c r="U210" s="1490" t="s">
        <v>1080</v>
      </c>
      <c r="V210" s="1407">
        <f t="shared" si="163"/>
        <v>22326.2</v>
      </c>
      <c r="W210" s="1451">
        <f t="shared" si="154"/>
        <v>19728.019793231422</v>
      </c>
      <c r="X210" s="1407">
        <f t="shared" si="155"/>
        <v>1526.2000000000007</v>
      </c>
      <c r="Y210" s="1408">
        <f t="shared" si="156"/>
        <v>1348.5906158876023</v>
      </c>
      <c r="Z210" s="1391" t="s">
        <v>1073</v>
      </c>
      <c r="AA210" s="1624">
        <v>26</v>
      </c>
      <c r="AB210" s="1257">
        <f>V210/26</f>
        <v>858.7</v>
      </c>
      <c r="AC210" s="1257">
        <f t="shared" si="157"/>
        <v>758.76999204736251</v>
      </c>
      <c r="AD210" s="1257">
        <f t="shared" si="158"/>
        <v>22326.2</v>
      </c>
      <c r="AE210" s="1257">
        <f t="shared" si="159"/>
        <v>19728.019793231422</v>
      </c>
    </row>
    <row r="211" spans="1:31" ht="40.5" x14ac:dyDescent="0.3">
      <c r="A211" s="74"/>
      <c r="B211" s="159"/>
      <c r="C211" s="351" t="s">
        <v>514</v>
      </c>
      <c r="D211" s="1114" t="s">
        <v>557</v>
      </c>
      <c r="E211" s="1258">
        <v>15000</v>
      </c>
      <c r="F211" s="1259"/>
      <c r="G211" s="1259"/>
      <c r="H211" s="1260">
        <f t="shared" si="149"/>
        <v>15000</v>
      </c>
      <c r="I211" s="1253" t="s">
        <v>199</v>
      </c>
      <c r="J211" s="1257" t="s">
        <v>1017</v>
      </c>
      <c r="K211" s="1624">
        <v>6</v>
      </c>
      <c r="L211" s="1257">
        <f>H211/6</f>
        <v>2500</v>
      </c>
      <c r="M211" s="1257">
        <f t="shared" si="150"/>
        <v>2209.0660068922862</v>
      </c>
      <c r="N211" s="1257">
        <f t="shared" si="151"/>
        <v>15000</v>
      </c>
      <c r="O211" s="1463">
        <f t="shared" si="152"/>
        <v>13254.396041353717</v>
      </c>
      <c r="P211" s="1488"/>
      <c r="Q211" s="1489">
        <v>2220</v>
      </c>
      <c r="R211" s="1489"/>
      <c r="S211" s="1489"/>
      <c r="T211" s="1487">
        <f t="shared" si="153"/>
        <v>2220</v>
      </c>
      <c r="U211" s="1490" t="s">
        <v>558</v>
      </c>
      <c r="V211" s="1407">
        <f t="shared" si="163"/>
        <v>2220</v>
      </c>
      <c r="W211" s="1451">
        <f t="shared" si="154"/>
        <v>1961.6506141203499</v>
      </c>
      <c r="X211" s="1407">
        <f t="shared" si="155"/>
        <v>-12780</v>
      </c>
      <c r="Y211" s="1408">
        <f t="shared" si="156"/>
        <v>-11292.745427233367</v>
      </c>
      <c r="Z211" s="1391" t="s">
        <v>1073</v>
      </c>
      <c r="AA211" s="1624">
        <v>6</v>
      </c>
      <c r="AB211" s="1257">
        <f>V211/6</f>
        <v>370</v>
      </c>
      <c r="AC211" s="1257">
        <f t="shared" si="157"/>
        <v>326.94176902005836</v>
      </c>
      <c r="AD211" s="1257">
        <f t="shared" si="158"/>
        <v>2220</v>
      </c>
      <c r="AE211" s="1257">
        <f t="shared" si="159"/>
        <v>1961.6506141203499</v>
      </c>
    </row>
    <row r="212" spans="1:31" ht="40.5" x14ac:dyDescent="0.3">
      <c r="A212" s="74"/>
      <c r="B212" s="159"/>
      <c r="C212" s="351" t="s">
        <v>515</v>
      </c>
      <c r="D212" s="1114" t="s">
        <v>516</v>
      </c>
      <c r="E212" s="1258"/>
      <c r="F212" s="1259"/>
      <c r="G212" s="1259"/>
      <c r="H212" s="1260">
        <f t="shared" si="149"/>
        <v>0</v>
      </c>
      <c r="I212" s="1252"/>
      <c r="J212" s="1257"/>
      <c r="K212" s="1624">
        <v>0</v>
      </c>
      <c r="L212" s="1257">
        <f t="shared" si="160"/>
        <v>0</v>
      </c>
      <c r="M212" s="1257">
        <f t="shared" si="150"/>
        <v>0</v>
      </c>
      <c r="N212" s="1257">
        <f t="shared" si="151"/>
        <v>0</v>
      </c>
      <c r="O212" s="1463">
        <f t="shared" si="152"/>
        <v>0</v>
      </c>
      <c r="P212" s="1488"/>
      <c r="Q212" s="1489">
        <v>5100</v>
      </c>
      <c r="R212" s="1489"/>
      <c r="S212" s="1489"/>
      <c r="T212" s="1487">
        <f t="shared" si="153"/>
        <v>5100</v>
      </c>
      <c r="U212" s="1490" t="s">
        <v>517</v>
      </c>
      <c r="V212" s="1407">
        <f t="shared" si="163"/>
        <v>5100</v>
      </c>
      <c r="W212" s="1451">
        <f t="shared" si="154"/>
        <v>4506.4946540602632</v>
      </c>
      <c r="X212" s="1407">
        <f t="shared" si="155"/>
        <v>5100</v>
      </c>
      <c r="Y212" s="1408">
        <f t="shared" si="156"/>
        <v>4506.4946540602632</v>
      </c>
      <c r="Z212" s="1391" t="s">
        <v>1074</v>
      </c>
      <c r="AA212" s="1624">
        <v>2</v>
      </c>
      <c r="AB212" s="1257">
        <f>V212/2</f>
        <v>2550</v>
      </c>
      <c r="AC212" s="1257">
        <f t="shared" si="157"/>
        <v>2253.2473270301316</v>
      </c>
      <c r="AD212" s="1257">
        <f t="shared" si="158"/>
        <v>5100</v>
      </c>
      <c r="AE212" s="1257">
        <f t="shared" si="159"/>
        <v>4506.4946540602632</v>
      </c>
    </row>
    <row r="213" spans="1:31" ht="121.5" x14ac:dyDescent="0.3">
      <c r="A213" s="74"/>
      <c r="B213" s="159"/>
      <c r="C213" s="350" t="s">
        <v>200</v>
      </c>
      <c r="D213" s="1110" t="s">
        <v>904</v>
      </c>
      <c r="E213" s="1258">
        <f>11390</f>
        <v>11390</v>
      </c>
      <c r="F213" s="1259">
        <v>22360</v>
      </c>
      <c r="G213" s="1259"/>
      <c r="H213" s="1260">
        <f t="shared" si="149"/>
        <v>33750</v>
      </c>
      <c r="I213" s="1252" t="s">
        <v>202</v>
      </c>
      <c r="J213" s="1257" t="s">
        <v>1015</v>
      </c>
      <c r="K213" s="1624">
        <v>15</v>
      </c>
      <c r="L213" s="1257">
        <f>H213/15</f>
        <v>2250</v>
      </c>
      <c r="M213" s="1257">
        <f t="shared" si="150"/>
        <v>1988.1594062030574</v>
      </c>
      <c r="N213" s="1257">
        <f t="shared" si="151"/>
        <v>33750</v>
      </c>
      <c r="O213" s="1463">
        <f t="shared" si="152"/>
        <v>29822.391093045862</v>
      </c>
      <c r="P213" s="1488">
        <f>20000</f>
        <v>20000</v>
      </c>
      <c r="Q213" s="1489"/>
      <c r="R213" s="1489"/>
      <c r="S213" s="1489"/>
      <c r="T213" s="1487">
        <f t="shared" si="153"/>
        <v>20000</v>
      </c>
      <c r="U213" s="1490" t="s">
        <v>780</v>
      </c>
      <c r="V213" s="1407">
        <f t="shared" si="163"/>
        <v>20000</v>
      </c>
      <c r="W213" s="1451">
        <f t="shared" si="154"/>
        <v>17672.528055138289</v>
      </c>
      <c r="X213" s="1407">
        <f t="shared" si="155"/>
        <v>-13750</v>
      </c>
      <c r="Y213" s="1408">
        <f t="shared" si="156"/>
        <v>-12149.863037907573</v>
      </c>
      <c r="Z213" s="1391" t="s">
        <v>1015</v>
      </c>
      <c r="AA213" s="1624">
        <v>12</v>
      </c>
      <c r="AB213" s="1257">
        <f>V213/12</f>
        <v>1666.6666666666667</v>
      </c>
      <c r="AC213" s="1257">
        <f t="shared" si="157"/>
        <v>1472.7106712615241</v>
      </c>
      <c r="AD213" s="1257">
        <f t="shared" si="158"/>
        <v>20000</v>
      </c>
      <c r="AE213" s="1257">
        <f t="shared" si="159"/>
        <v>17672.528055138289</v>
      </c>
    </row>
    <row r="214" spans="1:31" ht="60.75" x14ac:dyDescent="0.3">
      <c r="A214" s="74"/>
      <c r="B214" s="1107"/>
      <c r="C214" s="350" t="s">
        <v>559</v>
      </c>
      <c r="D214" s="1110" t="s">
        <v>203</v>
      </c>
      <c r="E214" s="1258">
        <v>7080</v>
      </c>
      <c r="F214" s="1259">
        <v>7337.5</v>
      </c>
      <c r="G214" s="1259">
        <f>7337.5</f>
        <v>7337.5</v>
      </c>
      <c r="H214" s="1260">
        <f t="shared" si="149"/>
        <v>21755</v>
      </c>
      <c r="I214" s="1252" t="s">
        <v>204</v>
      </c>
      <c r="J214" s="1257" t="s">
        <v>993</v>
      </c>
      <c r="K214" s="1624">
        <v>12</v>
      </c>
      <c r="L214" s="1257">
        <f>H214/12</f>
        <v>1812.9166666666667</v>
      </c>
      <c r="M214" s="1257">
        <f t="shared" si="150"/>
        <v>1601.9410326647228</v>
      </c>
      <c r="N214" s="1257">
        <f t="shared" si="151"/>
        <v>21755</v>
      </c>
      <c r="O214" s="1463">
        <f t="shared" si="152"/>
        <v>19223.292391976673</v>
      </c>
      <c r="P214" s="1488"/>
      <c r="Q214" s="1489"/>
      <c r="R214" s="1489"/>
      <c r="S214" s="1489"/>
      <c r="T214" s="1487"/>
      <c r="U214" s="1490"/>
      <c r="V214" s="1407"/>
      <c r="W214" s="1451">
        <f t="shared" si="154"/>
        <v>0</v>
      </c>
      <c r="X214" s="1407">
        <f t="shared" si="155"/>
        <v>-21755</v>
      </c>
      <c r="Y214" s="1408">
        <f t="shared" si="156"/>
        <v>-19223.292391976673</v>
      </c>
      <c r="Z214" s="1391" t="s">
        <v>993</v>
      </c>
      <c r="AA214" s="1624"/>
      <c r="AB214" s="1257"/>
      <c r="AC214" s="1257"/>
      <c r="AD214" s="1257"/>
      <c r="AE214" s="1257">
        <f t="shared" si="159"/>
        <v>0</v>
      </c>
    </row>
    <row r="215" spans="1:31" ht="41.25" thickBot="1" x14ac:dyDescent="0.35">
      <c r="A215" s="226"/>
      <c r="B215" s="159"/>
      <c r="C215" s="350" t="s">
        <v>205</v>
      </c>
      <c r="D215" s="1110" t="s">
        <v>686</v>
      </c>
      <c r="E215" s="1258">
        <f>16000</f>
        <v>16000</v>
      </c>
      <c r="F215" s="1259"/>
      <c r="G215" s="1259"/>
      <c r="H215" s="1260">
        <f t="shared" si="149"/>
        <v>16000</v>
      </c>
      <c r="I215" s="1252" t="s">
        <v>1018</v>
      </c>
      <c r="J215" s="1257" t="s">
        <v>1013</v>
      </c>
      <c r="K215" s="1624">
        <v>3</v>
      </c>
      <c r="L215" s="1257">
        <f>H215/3</f>
        <v>5333.333333333333</v>
      </c>
      <c r="M215" s="1257">
        <f t="shared" si="150"/>
        <v>4712.6741480368764</v>
      </c>
      <c r="N215" s="1257">
        <f t="shared" si="151"/>
        <v>16000</v>
      </c>
      <c r="O215" s="1463">
        <f t="shared" si="152"/>
        <v>14138.022444110631</v>
      </c>
      <c r="P215" s="1488">
        <v>7600</v>
      </c>
      <c r="Q215" s="1489">
        <v>3100</v>
      </c>
      <c r="R215" s="1489">
        <f>3750.4</f>
        <v>3750.4</v>
      </c>
      <c r="S215" s="1489">
        <f>10996</f>
        <v>10996</v>
      </c>
      <c r="T215" s="1487">
        <f t="shared" si="153"/>
        <v>25446.400000000001</v>
      </c>
      <c r="U215" s="1490" t="s">
        <v>883</v>
      </c>
      <c r="V215" s="1407">
        <f t="shared" ref="V215:V220" si="164">P215+Q215+R215+S215</f>
        <v>25446.400000000001</v>
      </c>
      <c r="W215" s="1451">
        <f t="shared" si="154"/>
        <v>22485.11089511355</v>
      </c>
      <c r="X215" s="1407">
        <f t="shared" si="155"/>
        <v>9446.4000000000015</v>
      </c>
      <c r="Y215" s="1408">
        <f t="shared" si="156"/>
        <v>8347.0884510029191</v>
      </c>
      <c r="Z215" s="1391" t="s">
        <v>1013</v>
      </c>
      <c r="AA215" s="1624">
        <v>4</v>
      </c>
      <c r="AB215" s="1257">
        <f>V215/4</f>
        <v>6361.6</v>
      </c>
      <c r="AC215" s="1257">
        <f t="shared" si="157"/>
        <v>5621.2777237783876</v>
      </c>
      <c r="AD215" s="1257">
        <f t="shared" si="158"/>
        <v>25446.400000000001</v>
      </c>
      <c r="AE215" s="1257">
        <f t="shared" si="159"/>
        <v>22485.11089511355</v>
      </c>
    </row>
    <row r="216" spans="1:31" ht="40.5" x14ac:dyDescent="0.3">
      <c r="A216" s="224"/>
      <c r="B216" s="159"/>
      <c r="C216" s="350" t="s">
        <v>518</v>
      </c>
      <c r="D216" s="1110" t="s">
        <v>519</v>
      </c>
      <c r="E216" s="1258"/>
      <c r="F216" s="1259"/>
      <c r="G216" s="1259"/>
      <c r="H216" s="1260">
        <f t="shared" si="149"/>
        <v>0</v>
      </c>
      <c r="I216" s="1252"/>
      <c r="J216" s="1257"/>
      <c r="K216" s="1624">
        <v>0</v>
      </c>
      <c r="L216" s="1257">
        <f t="shared" si="160"/>
        <v>0</v>
      </c>
      <c r="M216" s="1257">
        <f t="shared" si="150"/>
        <v>0</v>
      </c>
      <c r="N216" s="1257">
        <f t="shared" si="151"/>
        <v>0</v>
      </c>
      <c r="O216" s="1463">
        <f t="shared" si="152"/>
        <v>0</v>
      </c>
      <c r="P216" s="1488"/>
      <c r="Q216" s="1489"/>
      <c r="R216" s="1489">
        <f>4100</f>
        <v>4100</v>
      </c>
      <c r="S216" s="1489"/>
      <c r="T216" s="1487">
        <f t="shared" si="153"/>
        <v>4100</v>
      </c>
      <c r="U216" s="1490" t="s">
        <v>762</v>
      </c>
      <c r="V216" s="1407">
        <f t="shared" si="164"/>
        <v>4100</v>
      </c>
      <c r="W216" s="1451">
        <f t="shared" si="154"/>
        <v>3622.8682513033491</v>
      </c>
      <c r="X216" s="1407">
        <f t="shared" si="155"/>
        <v>4100</v>
      </c>
      <c r="Y216" s="1408">
        <f t="shared" si="156"/>
        <v>3622.8682513033491</v>
      </c>
      <c r="Z216" s="1391" t="s">
        <v>1013</v>
      </c>
      <c r="AA216" s="1624">
        <v>1</v>
      </c>
      <c r="AB216" s="1257">
        <f>V216/1</f>
        <v>4100</v>
      </c>
      <c r="AC216" s="1257">
        <f t="shared" si="157"/>
        <v>3622.8682513033491</v>
      </c>
      <c r="AD216" s="1257">
        <f t="shared" si="158"/>
        <v>4100</v>
      </c>
      <c r="AE216" s="1257">
        <f t="shared" si="159"/>
        <v>3622.8682513033491</v>
      </c>
    </row>
    <row r="217" spans="1:31" ht="60.75" x14ac:dyDescent="0.3">
      <c r="A217" s="74"/>
      <c r="B217" s="206"/>
      <c r="C217" s="459" t="s">
        <v>687</v>
      </c>
      <c r="D217" s="1110" t="s">
        <v>688</v>
      </c>
      <c r="E217" s="1258"/>
      <c r="F217" s="1259"/>
      <c r="G217" s="1259"/>
      <c r="H217" s="1260">
        <f t="shared" si="149"/>
        <v>0</v>
      </c>
      <c r="I217" s="1252"/>
      <c r="J217" s="1257"/>
      <c r="K217" s="1624">
        <v>0</v>
      </c>
      <c r="L217" s="1257">
        <f t="shared" si="160"/>
        <v>0</v>
      </c>
      <c r="M217" s="1257">
        <f t="shared" si="150"/>
        <v>0</v>
      </c>
      <c r="N217" s="1257">
        <f t="shared" si="151"/>
        <v>0</v>
      </c>
      <c r="O217" s="1463">
        <f t="shared" si="152"/>
        <v>0</v>
      </c>
      <c r="P217" s="1488"/>
      <c r="Q217" s="1489"/>
      <c r="R217" s="1489">
        <v>2400</v>
      </c>
      <c r="S217" s="1489">
        <f>2400</f>
        <v>2400</v>
      </c>
      <c r="T217" s="1487">
        <f t="shared" ref="T217" si="165">SUM(P217:S217)</f>
        <v>4800</v>
      </c>
      <c r="U217" s="1490" t="s">
        <v>689</v>
      </c>
      <c r="V217" s="1407">
        <f t="shared" si="164"/>
        <v>4800</v>
      </c>
      <c r="W217" s="1451">
        <f t="shared" si="154"/>
        <v>4241.4067332331897</v>
      </c>
      <c r="X217" s="1407">
        <f t="shared" si="155"/>
        <v>4800</v>
      </c>
      <c r="Y217" s="1408">
        <f t="shared" si="156"/>
        <v>4241.4067332331897</v>
      </c>
      <c r="Z217" s="1391" t="s">
        <v>993</v>
      </c>
      <c r="AA217" s="1624">
        <v>60</v>
      </c>
      <c r="AB217" s="1257">
        <f>V217/60</f>
        <v>80</v>
      </c>
      <c r="AC217" s="1257">
        <f t="shared" ref="AC217" si="166">AB217/1.1317</f>
        <v>70.690112220553161</v>
      </c>
      <c r="AD217" s="1257">
        <f t="shared" ref="AD217" si="167">AA217*AB217</f>
        <v>4800</v>
      </c>
      <c r="AE217" s="1257">
        <f t="shared" si="159"/>
        <v>4241.4067332331897</v>
      </c>
    </row>
    <row r="218" spans="1:31" ht="40.5" x14ac:dyDescent="0.3">
      <c r="A218" s="74"/>
      <c r="B218" s="159"/>
      <c r="C218" s="350" t="s">
        <v>520</v>
      </c>
      <c r="D218" s="1110" t="s">
        <v>521</v>
      </c>
      <c r="E218" s="1258"/>
      <c r="F218" s="1259"/>
      <c r="G218" s="1259"/>
      <c r="H218" s="1260">
        <f t="shared" si="149"/>
        <v>0</v>
      </c>
      <c r="I218" s="1252"/>
      <c r="J218" s="1257"/>
      <c r="K218" s="1624">
        <v>0</v>
      </c>
      <c r="L218" s="1257">
        <f t="shared" si="160"/>
        <v>0</v>
      </c>
      <c r="M218" s="1257">
        <f t="shared" si="150"/>
        <v>0</v>
      </c>
      <c r="N218" s="1257">
        <f t="shared" si="151"/>
        <v>0</v>
      </c>
      <c r="O218" s="1463">
        <f t="shared" si="152"/>
        <v>0</v>
      </c>
      <c r="P218" s="1488"/>
      <c r="Q218" s="1489"/>
      <c r="R218" s="1489"/>
      <c r="S218" s="1489"/>
      <c r="T218" s="1487">
        <f t="shared" si="153"/>
        <v>0</v>
      </c>
      <c r="U218" s="1490"/>
      <c r="V218" s="1407">
        <f t="shared" si="164"/>
        <v>0</v>
      </c>
      <c r="W218" s="1451">
        <f t="shared" si="154"/>
        <v>0</v>
      </c>
      <c r="X218" s="1407">
        <f t="shared" si="155"/>
        <v>0</v>
      </c>
      <c r="Y218" s="1408">
        <f t="shared" si="156"/>
        <v>0</v>
      </c>
      <c r="Z218" s="1391"/>
      <c r="AA218" s="1624">
        <v>0</v>
      </c>
      <c r="AB218" s="1257">
        <f>V218/40</f>
        <v>0</v>
      </c>
      <c r="AC218" s="1257">
        <f t="shared" si="157"/>
        <v>0</v>
      </c>
      <c r="AD218" s="1257">
        <f t="shared" si="158"/>
        <v>0</v>
      </c>
      <c r="AE218" s="1257">
        <f t="shared" si="159"/>
        <v>0</v>
      </c>
    </row>
    <row r="219" spans="1:31" ht="40.5" x14ac:dyDescent="0.3">
      <c r="A219" s="74"/>
      <c r="B219" s="206"/>
      <c r="C219" s="459" t="s">
        <v>692</v>
      </c>
      <c r="D219" s="1110" t="s">
        <v>690</v>
      </c>
      <c r="E219" s="1258"/>
      <c r="F219" s="1259"/>
      <c r="G219" s="1259"/>
      <c r="H219" s="1260">
        <f t="shared" si="149"/>
        <v>0</v>
      </c>
      <c r="I219" s="1252"/>
      <c r="J219" s="1257"/>
      <c r="K219" s="1624">
        <v>0</v>
      </c>
      <c r="L219" s="1257">
        <f t="shared" si="160"/>
        <v>0</v>
      </c>
      <c r="M219" s="1257">
        <f t="shared" si="150"/>
        <v>0</v>
      </c>
      <c r="N219" s="1257">
        <f t="shared" si="151"/>
        <v>0</v>
      </c>
      <c r="O219" s="1463">
        <f t="shared" si="152"/>
        <v>0</v>
      </c>
      <c r="P219" s="1537"/>
      <c r="Q219" s="1538"/>
      <c r="R219" s="1489"/>
      <c r="S219" s="1489"/>
      <c r="T219" s="1487">
        <f t="shared" si="153"/>
        <v>0</v>
      </c>
      <c r="U219" s="1490" t="s">
        <v>691</v>
      </c>
      <c r="V219" s="1407">
        <f t="shared" si="164"/>
        <v>0</v>
      </c>
      <c r="W219" s="1451">
        <f t="shared" si="154"/>
        <v>0</v>
      </c>
      <c r="X219" s="1407">
        <f t="shared" si="155"/>
        <v>0</v>
      </c>
      <c r="Y219" s="1408">
        <f t="shared" si="156"/>
        <v>0</v>
      </c>
      <c r="Z219" s="1391"/>
      <c r="AA219" s="1624">
        <v>0</v>
      </c>
      <c r="AB219" s="1257">
        <f>V219/40</f>
        <v>0</v>
      </c>
      <c r="AC219" s="1257">
        <f t="shared" ref="AC219" si="168">AB219/1.1317</f>
        <v>0</v>
      </c>
      <c r="AD219" s="1257"/>
      <c r="AE219" s="1257">
        <f t="shared" si="159"/>
        <v>0</v>
      </c>
    </row>
    <row r="220" spans="1:31" ht="40.5" x14ac:dyDescent="0.3">
      <c r="A220" s="74"/>
      <c r="B220" s="63"/>
      <c r="C220" s="350" t="s">
        <v>207</v>
      </c>
      <c r="D220" s="1110" t="s">
        <v>208</v>
      </c>
      <c r="E220" s="1258"/>
      <c r="F220" s="1259">
        <f>4000</f>
        <v>4000</v>
      </c>
      <c r="G220" s="1259"/>
      <c r="H220" s="1260">
        <f t="shared" si="149"/>
        <v>4000</v>
      </c>
      <c r="I220" s="1252" t="s">
        <v>209</v>
      </c>
      <c r="J220" s="1257" t="s">
        <v>1000</v>
      </c>
      <c r="K220" s="1624">
        <v>10</v>
      </c>
      <c r="L220" s="1257">
        <f>H220/10</f>
        <v>400</v>
      </c>
      <c r="M220" s="1257">
        <f t="shared" si="150"/>
        <v>353.45056110276579</v>
      </c>
      <c r="N220" s="1257">
        <f t="shared" si="151"/>
        <v>4000</v>
      </c>
      <c r="O220" s="1463">
        <f t="shared" si="152"/>
        <v>3534.5056110276578</v>
      </c>
      <c r="P220" s="1488"/>
      <c r="Q220" s="1489"/>
      <c r="R220" s="1489">
        <v>2000</v>
      </c>
      <c r="S220" s="1489">
        <v>6000</v>
      </c>
      <c r="T220" s="1487">
        <f t="shared" si="153"/>
        <v>8000</v>
      </c>
      <c r="U220" s="1490" t="s">
        <v>615</v>
      </c>
      <c r="V220" s="1407">
        <f t="shared" si="164"/>
        <v>8000</v>
      </c>
      <c r="W220" s="1451">
        <f t="shared" si="154"/>
        <v>7069.0112220553156</v>
      </c>
      <c r="X220" s="1407">
        <f t="shared" si="155"/>
        <v>4000</v>
      </c>
      <c r="Y220" s="1408">
        <f t="shared" si="156"/>
        <v>3534.5056110276578</v>
      </c>
      <c r="Z220" s="1391" t="s">
        <v>1000</v>
      </c>
      <c r="AA220" s="1624">
        <v>1</v>
      </c>
      <c r="AB220" s="1257">
        <f>V220/1</f>
        <v>8000</v>
      </c>
      <c r="AC220" s="1257">
        <f t="shared" si="157"/>
        <v>7069.0112220553156</v>
      </c>
      <c r="AD220" s="1257">
        <f t="shared" si="158"/>
        <v>8000</v>
      </c>
      <c r="AE220" s="1257">
        <f t="shared" si="159"/>
        <v>7069.0112220553156</v>
      </c>
    </row>
    <row r="221" spans="1:31" ht="40.5" x14ac:dyDescent="0.3">
      <c r="A221" s="74"/>
      <c r="B221" s="1092"/>
      <c r="C221" s="350" t="s">
        <v>560</v>
      </c>
      <c r="D221" s="1110" t="s">
        <v>210</v>
      </c>
      <c r="E221" s="1258"/>
      <c r="F221" s="1259">
        <f>3200</f>
        <v>3200</v>
      </c>
      <c r="G221" s="1259"/>
      <c r="H221" s="1260">
        <f t="shared" si="149"/>
        <v>3200</v>
      </c>
      <c r="I221" s="1252" t="s">
        <v>211</v>
      </c>
      <c r="J221" s="1257" t="s">
        <v>1000</v>
      </c>
      <c r="K221" s="1624">
        <v>8</v>
      </c>
      <c r="L221" s="1257">
        <f>H221/8</f>
        <v>400</v>
      </c>
      <c r="M221" s="1257">
        <f t="shared" si="150"/>
        <v>353.45056110276579</v>
      </c>
      <c r="N221" s="1257">
        <f t="shared" si="151"/>
        <v>3200</v>
      </c>
      <c r="O221" s="1463">
        <f t="shared" si="152"/>
        <v>2827.6044888221263</v>
      </c>
      <c r="P221" s="1488"/>
      <c r="Q221" s="1489"/>
      <c r="R221" s="1489"/>
      <c r="S221" s="1489"/>
      <c r="T221" s="1487"/>
      <c r="U221" s="1490"/>
      <c r="V221" s="1407"/>
      <c r="W221" s="1451">
        <f t="shared" si="154"/>
        <v>0</v>
      </c>
      <c r="X221" s="1407">
        <f t="shared" si="155"/>
        <v>-3200</v>
      </c>
      <c r="Y221" s="1408">
        <f t="shared" si="156"/>
        <v>-2827.6044888221263</v>
      </c>
      <c r="Z221" s="1391"/>
      <c r="AA221" s="1624"/>
      <c r="AB221" s="1257"/>
      <c r="AC221" s="1257"/>
      <c r="AD221" s="1257"/>
      <c r="AE221" s="1257">
        <f t="shared" si="159"/>
        <v>0</v>
      </c>
    </row>
    <row r="222" spans="1:31" ht="40.5" x14ac:dyDescent="0.3">
      <c r="A222" s="74"/>
      <c r="B222" s="1092"/>
      <c r="C222" s="350" t="s">
        <v>561</v>
      </c>
      <c r="D222" s="1110" t="s">
        <v>212</v>
      </c>
      <c r="E222" s="1258"/>
      <c r="F222" s="1259">
        <f>2000</f>
        <v>2000</v>
      </c>
      <c r="G222" s="1259"/>
      <c r="H222" s="1260">
        <f t="shared" si="149"/>
        <v>2000</v>
      </c>
      <c r="I222" s="1252" t="s">
        <v>213</v>
      </c>
      <c r="J222" s="1257" t="s">
        <v>1000</v>
      </c>
      <c r="K222" s="1624">
        <v>5</v>
      </c>
      <c r="L222" s="1257">
        <f t="shared" si="160"/>
        <v>400</v>
      </c>
      <c r="M222" s="1257">
        <f t="shared" si="150"/>
        <v>353.45056110276579</v>
      </c>
      <c r="N222" s="1257">
        <f t="shared" si="151"/>
        <v>2000</v>
      </c>
      <c r="O222" s="1463">
        <f t="shared" si="152"/>
        <v>1767.2528055138289</v>
      </c>
      <c r="P222" s="1488"/>
      <c r="Q222" s="1489"/>
      <c r="R222" s="1489"/>
      <c r="S222" s="1489"/>
      <c r="T222" s="1487"/>
      <c r="U222" s="1490"/>
      <c r="V222" s="1407"/>
      <c r="W222" s="1451">
        <f t="shared" si="154"/>
        <v>0</v>
      </c>
      <c r="X222" s="1407">
        <f t="shared" si="155"/>
        <v>-2000</v>
      </c>
      <c r="Y222" s="1408">
        <f t="shared" si="156"/>
        <v>-1767.2528055138289</v>
      </c>
      <c r="Z222" s="1391"/>
      <c r="AA222" s="1624"/>
      <c r="AB222" s="1257"/>
      <c r="AC222" s="1257"/>
      <c r="AD222" s="1257"/>
      <c r="AE222" s="1257">
        <f t="shared" si="159"/>
        <v>0</v>
      </c>
    </row>
    <row r="223" spans="1:31" ht="81" x14ac:dyDescent="0.3">
      <c r="A223" s="74"/>
      <c r="B223" s="63"/>
      <c r="C223" s="277" t="s">
        <v>214</v>
      </c>
      <c r="D223" s="1095" t="s">
        <v>215</v>
      </c>
      <c r="E223" s="1258">
        <f>25395</f>
        <v>25395</v>
      </c>
      <c r="F223" s="1259">
        <f>26465</f>
        <v>26465</v>
      </c>
      <c r="G223" s="1259">
        <f>23485</f>
        <v>23485</v>
      </c>
      <c r="H223" s="1260">
        <f t="shared" si="149"/>
        <v>75345</v>
      </c>
      <c r="I223" s="1252" t="s">
        <v>216</v>
      </c>
      <c r="J223" s="1257" t="s">
        <v>1019</v>
      </c>
      <c r="K223" s="1624">
        <v>3</v>
      </c>
      <c r="L223" s="1257">
        <f>H223/3</f>
        <v>25115</v>
      </c>
      <c r="M223" s="1257">
        <f t="shared" si="150"/>
        <v>22192.277105239908</v>
      </c>
      <c r="N223" s="1257">
        <f t="shared" si="151"/>
        <v>75345</v>
      </c>
      <c r="O223" s="1463">
        <f t="shared" si="152"/>
        <v>66576.831315719712</v>
      </c>
      <c r="P223" s="1488">
        <f>42000</f>
        <v>42000</v>
      </c>
      <c r="Q223" s="1489">
        <v>31000</v>
      </c>
      <c r="R223" s="1487">
        <f>20800</f>
        <v>20800</v>
      </c>
      <c r="S223" s="1487">
        <f>31050</f>
        <v>31050</v>
      </c>
      <c r="T223" s="1487">
        <f t="shared" si="153"/>
        <v>124850</v>
      </c>
      <c r="U223" s="1490" t="s">
        <v>884</v>
      </c>
      <c r="V223" s="1407">
        <f t="shared" ref="V223:V238" si="169">P223+Q223+R223+S223</f>
        <v>124850</v>
      </c>
      <c r="W223" s="1451">
        <f t="shared" si="154"/>
        <v>110320.75638420077</v>
      </c>
      <c r="X223" s="1407">
        <f t="shared" si="155"/>
        <v>49505</v>
      </c>
      <c r="Y223" s="1408">
        <f t="shared" si="156"/>
        <v>43743.925068481054</v>
      </c>
      <c r="Z223" s="1391" t="s">
        <v>993</v>
      </c>
      <c r="AA223" s="1624">
        <v>50</v>
      </c>
      <c r="AB223" s="1257">
        <f>V223/50</f>
        <v>2497</v>
      </c>
      <c r="AC223" s="1257">
        <f t="shared" si="157"/>
        <v>2206.4151276840153</v>
      </c>
      <c r="AD223" s="1257">
        <f t="shared" si="158"/>
        <v>124850</v>
      </c>
      <c r="AE223" s="1257">
        <f t="shared" si="159"/>
        <v>110320.75638420077</v>
      </c>
    </row>
    <row r="224" spans="1:31" ht="60.75" x14ac:dyDescent="0.3">
      <c r="A224" s="74"/>
      <c r="B224" s="1092"/>
      <c r="C224" s="2236" t="s">
        <v>217</v>
      </c>
      <c r="D224" s="2237" t="s">
        <v>218</v>
      </c>
      <c r="E224" s="1258">
        <f>20000</f>
        <v>20000</v>
      </c>
      <c r="F224" s="1259"/>
      <c r="G224" s="1259"/>
      <c r="H224" s="1260">
        <f t="shared" si="149"/>
        <v>20000</v>
      </c>
      <c r="I224" s="1252" t="s">
        <v>219</v>
      </c>
      <c r="J224" s="1257" t="s">
        <v>1000</v>
      </c>
      <c r="K224" s="1624">
        <v>50</v>
      </c>
      <c r="L224" s="1257">
        <f>H224/50</f>
        <v>400</v>
      </c>
      <c r="M224" s="1257">
        <f t="shared" si="150"/>
        <v>353.45056110276579</v>
      </c>
      <c r="N224" s="1257">
        <f t="shared" si="151"/>
        <v>20000</v>
      </c>
      <c r="O224" s="1463">
        <f t="shared" si="152"/>
        <v>17672.528055138289</v>
      </c>
      <c r="P224" s="1488">
        <f>9700</f>
        <v>9700</v>
      </c>
      <c r="Q224" s="1489"/>
      <c r="R224" s="1489">
        <f>19600+2500</f>
        <v>22100</v>
      </c>
      <c r="S224" s="1489">
        <v>10000</v>
      </c>
      <c r="T224" s="1487">
        <f t="shared" si="153"/>
        <v>41800</v>
      </c>
      <c r="U224" s="1490" t="s">
        <v>885</v>
      </c>
      <c r="V224" s="1407">
        <f t="shared" si="169"/>
        <v>41800</v>
      </c>
      <c r="W224" s="1451">
        <f t="shared" si="154"/>
        <v>36935.583635239025</v>
      </c>
      <c r="X224" s="1407">
        <f t="shared" si="155"/>
        <v>21800</v>
      </c>
      <c r="Y224" s="1408">
        <f t="shared" si="156"/>
        <v>19263.055580100736</v>
      </c>
      <c r="Z224" s="1391" t="s">
        <v>1000</v>
      </c>
      <c r="AA224" s="1624">
        <v>50</v>
      </c>
      <c r="AB224" s="1257">
        <f>V224/50</f>
        <v>836</v>
      </c>
      <c r="AC224" s="1257">
        <f t="shared" si="157"/>
        <v>738.71167270478043</v>
      </c>
      <c r="AD224" s="1257">
        <f t="shared" si="158"/>
        <v>41800</v>
      </c>
      <c r="AE224" s="1257">
        <f t="shared" si="159"/>
        <v>36935.583635239025</v>
      </c>
    </row>
    <row r="225" spans="1:31" ht="81" x14ac:dyDescent="0.3">
      <c r="A225" s="74"/>
      <c r="B225" s="63"/>
      <c r="C225" s="277" t="s">
        <v>523</v>
      </c>
      <c r="D225" s="1095" t="s">
        <v>524</v>
      </c>
      <c r="E225" s="1258"/>
      <c r="F225" s="1259"/>
      <c r="G225" s="1259"/>
      <c r="H225" s="1260">
        <f t="shared" si="149"/>
        <v>0</v>
      </c>
      <c r="I225" s="1252"/>
      <c r="J225" s="1257"/>
      <c r="K225" s="1624">
        <v>0</v>
      </c>
      <c r="L225" s="1257">
        <f t="shared" si="160"/>
        <v>0</v>
      </c>
      <c r="M225" s="1257">
        <f t="shared" si="150"/>
        <v>0</v>
      </c>
      <c r="N225" s="1257">
        <f t="shared" si="151"/>
        <v>0</v>
      </c>
      <c r="O225" s="1463">
        <f t="shared" si="152"/>
        <v>0</v>
      </c>
      <c r="P225" s="1488">
        <f>18000</f>
        <v>18000</v>
      </c>
      <c r="Q225" s="1489"/>
      <c r="R225" s="1489"/>
      <c r="S225" s="1489"/>
      <c r="T225" s="1487">
        <f t="shared" si="153"/>
        <v>18000</v>
      </c>
      <c r="U225" s="1490" t="s">
        <v>525</v>
      </c>
      <c r="V225" s="1407">
        <f t="shared" si="169"/>
        <v>18000</v>
      </c>
      <c r="W225" s="1451">
        <f t="shared" si="154"/>
        <v>15905.275249624459</v>
      </c>
      <c r="X225" s="1407">
        <f t="shared" si="155"/>
        <v>18000</v>
      </c>
      <c r="Y225" s="1408">
        <f t="shared" si="156"/>
        <v>15905.275249624459</v>
      </c>
      <c r="Z225" s="1391" t="s">
        <v>993</v>
      </c>
      <c r="AA225" s="1624">
        <v>26</v>
      </c>
      <c r="AB225" s="1257">
        <f>V225/26</f>
        <v>692.30769230769226</v>
      </c>
      <c r="AC225" s="1257">
        <f t="shared" si="157"/>
        <v>611.74135575478692</v>
      </c>
      <c r="AD225" s="1257">
        <f t="shared" si="158"/>
        <v>18000</v>
      </c>
      <c r="AE225" s="1257">
        <f t="shared" si="159"/>
        <v>15905.275249624459</v>
      </c>
    </row>
    <row r="226" spans="1:31" ht="40.5" x14ac:dyDescent="0.3">
      <c r="A226" s="74"/>
      <c r="B226" s="63"/>
      <c r="C226" s="277" t="s">
        <v>526</v>
      </c>
      <c r="D226" s="1098" t="s">
        <v>527</v>
      </c>
      <c r="E226" s="1258"/>
      <c r="F226" s="1259"/>
      <c r="G226" s="1259"/>
      <c r="H226" s="1260">
        <f t="shared" si="149"/>
        <v>0</v>
      </c>
      <c r="I226" s="1252"/>
      <c r="J226" s="1257"/>
      <c r="K226" s="1624">
        <v>0</v>
      </c>
      <c r="L226" s="1257">
        <f t="shared" si="160"/>
        <v>0</v>
      </c>
      <c r="M226" s="1257">
        <f t="shared" si="150"/>
        <v>0</v>
      </c>
      <c r="N226" s="1257">
        <f t="shared" si="151"/>
        <v>0</v>
      </c>
      <c r="O226" s="1463">
        <f t="shared" si="152"/>
        <v>0</v>
      </c>
      <c r="P226" s="1539"/>
      <c r="Q226" s="1489"/>
      <c r="R226" s="1489">
        <f>5100</f>
        <v>5100</v>
      </c>
      <c r="S226" s="1489"/>
      <c r="T226" s="1487">
        <f t="shared" si="153"/>
        <v>5100</v>
      </c>
      <c r="U226" s="1490" t="s">
        <v>1057</v>
      </c>
      <c r="V226" s="1407">
        <f t="shared" si="169"/>
        <v>5100</v>
      </c>
      <c r="W226" s="1451">
        <f t="shared" si="154"/>
        <v>4506.4946540602632</v>
      </c>
      <c r="X226" s="1407">
        <f t="shared" si="155"/>
        <v>5100</v>
      </c>
      <c r="Y226" s="1408">
        <f t="shared" si="156"/>
        <v>4506.4946540602632</v>
      </c>
      <c r="Z226" s="1391" t="s">
        <v>1001</v>
      </c>
      <c r="AA226" s="1624">
        <v>10</v>
      </c>
      <c r="AB226" s="1257">
        <f>V226/10</f>
        <v>510</v>
      </c>
      <c r="AC226" s="1257">
        <f t="shared" si="157"/>
        <v>450.64946540602637</v>
      </c>
      <c r="AD226" s="1257">
        <f>AA226*AB226</f>
        <v>5100</v>
      </c>
      <c r="AE226" s="1257">
        <f t="shared" si="159"/>
        <v>4506.4946540602632</v>
      </c>
    </row>
    <row r="227" spans="1:31" ht="162" x14ac:dyDescent="0.3">
      <c r="A227" s="74"/>
      <c r="B227" s="63"/>
      <c r="C227" s="352" t="s">
        <v>529</v>
      </c>
      <c r="D227" s="1110" t="s">
        <v>530</v>
      </c>
      <c r="E227" s="1258"/>
      <c r="F227" s="1259"/>
      <c r="G227" s="1259"/>
      <c r="H227" s="1260">
        <f t="shared" si="149"/>
        <v>0</v>
      </c>
      <c r="I227" s="1252"/>
      <c r="J227" s="1257"/>
      <c r="K227" s="1624">
        <v>0</v>
      </c>
      <c r="L227" s="1257">
        <f t="shared" si="160"/>
        <v>0</v>
      </c>
      <c r="M227" s="1257">
        <f t="shared" si="150"/>
        <v>0</v>
      </c>
      <c r="N227" s="1257">
        <f t="shared" si="151"/>
        <v>0</v>
      </c>
      <c r="O227" s="1463">
        <f t="shared" si="152"/>
        <v>0</v>
      </c>
      <c r="P227" s="1488"/>
      <c r="Q227" s="1489"/>
      <c r="R227" s="1489">
        <f>40990-5453.12</f>
        <v>35536.879999999997</v>
      </c>
      <c r="S227" s="1489">
        <f>35000</f>
        <v>35000</v>
      </c>
      <c r="T227" s="1487">
        <f t="shared" si="153"/>
        <v>70536.88</v>
      </c>
      <c r="U227" s="1490" t="s">
        <v>1059</v>
      </c>
      <c r="V227" s="1407">
        <f t="shared" si="169"/>
        <v>70536.88</v>
      </c>
      <c r="W227" s="1451">
        <f t="shared" si="154"/>
        <v>62328.249536096147</v>
      </c>
      <c r="X227" s="1407">
        <f t="shared" si="155"/>
        <v>70536.88</v>
      </c>
      <c r="Y227" s="1408">
        <f t="shared" si="156"/>
        <v>62328.249536096147</v>
      </c>
      <c r="Z227" s="1391" t="s">
        <v>1075</v>
      </c>
      <c r="AA227" s="1624">
        <v>2</v>
      </c>
      <c r="AB227" s="1257">
        <f>V227/2</f>
        <v>35268.44</v>
      </c>
      <c r="AC227" s="1257">
        <f t="shared" si="157"/>
        <v>31164.124768048074</v>
      </c>
      <c r="AD227" s="1257">
        <f>AA227*AB227</f>
        <v>70536.88</v>
      </c>
      <c r="AE227" s="1257">
        <f t="shared" si="159"/>
        <v>62328.249536096147</v>
      </c>
    </row>
    <row r="228" spans="1:31" ht="101.25" x14ac:dyDescent="0.3">
      <c r="A228" s="74"/>
      <c r="B228" s="170"/>
      <c r="C228" s="355" t="s">
        <v>220</v>
      </c>
      <c r="D228" s="1117" t="s">
        <v>905</v>
      </c>
      <c r="E228" s="1258">
        <f>25395</f>
        <v>25395</v>
      </c>
      <c r="F228" s="1259"/>
      <c r="G228" s="1259"/>
      <c r="H228" s="1260">
        <f t="shared" si="149"/>
        <v>25395</v>
      </c>
      <c r="I228" s="1252" t="s">
        <v>222</v>
      </c>
      <c r="J228" s="1257" t="s">
        <v>993</v>
      </c>
      <c r="K228" s="1624">
        <v>40</v>
      </c>
      <c r="L228" s="1257">
        <f>H228/40</f>
        <v>634.875</v>
      </c>
      <c r="M228" s="1257">
        <f t="shared" si="150"/>
        <v>560.99231245029603</v>
      </c>
      <c r="N228" s="1257">
        <f t="shared" si="151"/>
        <v>25395</v>
      </c>
      <c r="O228" s="1463">
        <f t="shared" si="152"/>
        <v>22439.692498011842</v>
      </c>
      <c r="P228" s="1488">
        <f>40900</f>
        <v>40900</v>
      </c>
      <c r="Q228" s="1489"/>
      <c r="R228" s="1489"/>
      <c r="S228" s="1489"/>
      <c r="T228" s="1487">
        <f t="shared" ref="T228:T254" si="170">SUM(P228:S228)</f>
        <v>40900</v>
      </c>
      <c r="U228" s="1490" t="s">
        <v>617</v>
      </c>
      <c r="V228" s="1407">
        <f t="shared" si="169"/>
        <v>40900</v>
      </c>
      <c r="W228" s="1451">
        <f t="shared" si="154"/>
        <v>36140.319872757798</v>
      </c>
      <c r="X228" s="1407">
        <f t="shared" si="155"/>
        <v>15505</v>
      </c>
      <c r="Y228" s="1408">
        <f t="shared" si="156"/>
        <v>13700.627374745956</v>
      </c>
      <c r="Z228" s="1391" t="s">
        <v>993</v>
      </c>
      <c r="AA228" s="1624">
        <v>45</v>
      </c>
      <c r="AB228" s="1257">
        <f>V228/45</f>
        <v>908.88888888888891</v>
      </c>
      <c r="AC228" s="1257">
        <f t="shared" ref="AC228:AC254" si="171">AB228/1.1317</f>
        <v>803.11821939461777</v>
      </c>
      <c r="AD228" s="1257">
        <f t="shared" si="158"/>
        <v>40900</v>
      </c>
      <c r="AE228" s="1257">
        <f t="shared" si="159"/>
        <v>36140.319872757798</v>
      </c>
    </row>
    <row r="229" spans="1:31" ht="141.75" x14ac:dyDescent="0.3">
      <c r="A229" s="74"/>
      <c r="B229" s="138"/>
      <c r="C229" s="350" t="s">
        <v>223</v>
      </c>
      <c r="D229" s="1110" t="s">
        <v>562</v>
      </c>
      <c r="E229" s="1258">
        <f>30250</f>
        <v>30250</v>
      </c>
      <c r="F229" s="1259">
        <v>32650</v>
      </c>
      <c r="G229" s="1259"/>
      <c r="H229" s="1260">
        <f t="shared" si="149"/>
        <v>62900</v>
      </c>
      <c r="I229" s="1252" t="s">
        <v>224</v>
      </c>
      <c r="J229" s="1257" t="s">
        <v>993</v>
      </c>
      <c r="K229" s="1624">
        <v>100</v>
      </c>
      <c r="L229" s="1257">
        <f>H229/100</f>
        <v>629</v>
      </c>
      <c r="M229" s="1257">
        <f t="shared" si="150"/>
        <v>555.80100733409915</v>
      </c>
      <c r="N229" s="1257">
        <f t="shared" si="151"/>
        <v>62900</v>
      </c>
      <c r="O229" s="1463">
        <f t="shared" si="152"/>
        <v>55580.100733409919</v>
      </c>
      <c r="P229" s="1488">
        <f>55100</f>
        <v>55100</v>
      </c>
      <c r="Q229" s="1489">
        <v>39900</v>
      </c>
      <c r="R229" s="1489">
        <f>880</f>
        <v>880</v>
      </c>
      <c r="S229" s="1489"/>
      <c r="T229" s="1487">
        <f t="shared" si="170"/>
        <v>95880</v>
      </c>
      <c r="U229" s="1490" t="s">
        <v>618</v>
      </c>
      <c r="V229" s="1407">
        <f t="shared" si="169"/>
        <v>95880</v>
      </c>
      <c r="W229" s="1451">
        <f t="shared" si="154"/>
        <v>84722.099496332958</v>
      </c>
      <c r="X229" s="1407">
        <f t="shared" si="155"/>
        <v>32980</v>
      </c>
      <c r="Y229" s="1408">
        <f t="shared" si="156"/>
        <v>29141.998762923038</v>
      </c>
      <c r="Z229" s="1391" t="s">
        <v>993</v>
      </c>
      <c r="AA229" s="1624">
        <v>150</v>
      </c>
      <c r="AB229" s="1257">
        <f>V229/150</f>
        <v>639.20000000000005</v>
      </c>
      <c r="AC229" s="1257">
        <f t="shared" si="171"/>
        <v>564.81399664221976</v>
      </c>
      <c r="AD229" s="1257">
        <f t="shared" si="158"/>
        <v>95880</v>
      </c>
      <c r="AE229" s="1257">
        <f t="shared" si="159"/>
        <v>84722.099496332958</v>
      </c>
    </row>
    <row r="230" spans="1:31" ht="141.75" x14ac:dyDescent="0.3">
      <c r="A230" s="74"/>
      <c r="B230" s="63"/>
      <c r="C230" s="350" t="s">
        <v>225</v>
      </c>
      <c r="D230" s="1110" t="s">
        <v>226</v>
      </c>
      <c r="E230" s="1258">
        <f>25225</f>
        <v>25225</v>
      </c>
      <c r="F230" s="1259">
        <v>32535</v>
      </c>
      <c r="G230" s="1259"/>
      <c r="H230" s="1260">
        <f t="shared" si="149"/>
        <v>57760</v>
      </c>
      <c r="I230" s="1252" t="s">
        <v>339</v>
      </c>
      <c r="J230" s="1257" t="s">
        <v>1007</v>
      </c>
      <c r="K230" s="1624">
        <v>6</v>
      </c>
      <c r="L230" s="1257">
        <f>H230/6</f>
        <v>9626.6666666666661</v>
      </c>
      <c r="M230" s="1257">
        <f t="shared" si="150"/>
        <v>8506.3768372065624</v>
      </c>
      <c r="N230" s="1257">
        <f t="shared" si="151"/>
        <v>57760</v>
      </c>
      <c r="O230" s="1463">
        <f t="shared" si="152"/>
        <v>51038.261023239378</v>
      </c>
      <c r="P230" s="1488">
        <v>44500</v>
      </c>
      <c r="Q230" s="1489"/>
      <c r="R230" s="1489"/>
      <c r="S230" s="1489"/>
      <c r="T230" s="1487">
        <f t="shared" si="170"/>
        <v>44500</v>
      </c>
      <c r="U230" s="1490" t="s">
        <v>619</v>
      </c>
      <c r="V230" s="1407">
        <f t="shared" si="169"/>
        <v>44500</v>
      </c>
      <c r="W230" s="1451">
        <f t="shared" si="154"/>
        <v>39321.374922682691</v>
      </c>
      <c r="X230" s="1407">
        <f t="shared" si="155"/>
        <v>-13260</v>
      </c>
      <c r="Y230" s="1408">
        <f t="shared" si="156"/>
        <v>-11716.886100556687</v>
      </c>
      <c r="Z230" s="1391" t="s">
        <v>1007</v>
      </c>
      <c r="AA230" s="1624">
        <v>6</v>
      </c>
      <c r="AB230" s="1257">
        <f>V230/6</f>
        <v>7416.666666666667</v>
      </c>
      <c r="AC230" s="1257">
        <f t="shared" si="171"/>
        <v>6553.5624871137825</v>
      </c>
      <c r="AD230" s="1257">
        <f t="shared" si="158"/>
        <v>44500</v>
      </c>
      <c r="AE230" s="1257">
        <f t="shared" si="159"/>
        <v>39321.374922682691</v>
      </c>
    </row>
    <row r="231" spans="1:31" ht="60.75" x14ac:dyDescent="0.3">
      <c r="A231" s="74"/>
      <c r="B231" s="63"/>
      <c r="C231" s="2238" t="s">
        <v>227</v>
      </c>
      <c r="D231" s="1767" t="s">
        <v>228</v>
      </c>
      <c r="E231" s="1258">
        <f>4000</f>
        <v>4000</v>
      </c>
      <c r="F231" s="1259"/>
      <c r="G231" s="1259"/>
      <c r="H231" s="1260">
        <f t="shared" si="149"/>
        <v>4000</v>
      </c>
      <c r="I231" s="1252" t="s">
        <v>229</v>
      </c>
      <c r="J231" s="1257" t="s">
        <v>1001</v>
      </c>
      <c r="K231" s="1624">
        <v>10</v>
      </c>
      <c r="L231" s="1257">
        <f>H231/10</f>
        <v>400</v>
      </c>
      <c r="M231" s="1257">
        <f t="shared" si="150"/>
        <v>353.45056110276579</v>
      </c>
      <c r="N231" s="1257">
        <f t="shared" si="151"/>
        <v>4000</v>
      </c>
      <c r="O231" s="1463">
        <f t="shared" si="152"/>
        <v>3534.5056110276578</v>
      </c>
      <c r="P231" s="1488"/>
      <c r="Q231" s="1489">
        <v>6100</v>
      </c>
      <c r="R231" s="1489">
        <v>6000</v>
      </c>
      <c r="S231" s="1489"/>
      <c r="T231" s="1487">
        <f t="shared" si="170"/>
        <v>12100</v>
      </c>
      <c r="U231" s="1490" t="s">
        <v>620</v>
      </c>
      <c r="V231" s="1407">
        <f t="shared" si="169"/>
        <v>12100</v>
      </c>
      <c r="W231" s="1451">
        <f t="shared" si="154"/>
        <v>10691.879473358664</v>
      </c>
      <c r="X231" s="1407">
        <f t="shared" si="155"/>
        <v>8100</v>
      </c>
      <c r="Y231" s="1408">
        <f t="shared" si="156"/>
        <v>7157.3738623310055</v>
      </c>
      <c r="Z231" s="1391" t="s">
        <v>1001</v>
      </c>
      <c r="AA231" s="1624">
        <v>30</v>
      </c>
      <c r="AB231" s="1257">
        <f>12100/30</f>
        <v>403.33333333333331</v>
      </c>
      <c r="AC231" s="1257">
        <f t="shared" si="171"/>
        <v>356.39598244528878</v>
      </c>
      <c r="AD231" s="1257">
        <f t="shared" si="158"/>
        <v>12100</v>
      </c>
      <c r="AE231" s="1257">
        <f t="shared" si="159"/>
        <v>10691.879473358664</v>
      </c>
    </row>
    <row r="232" spans="1:31" ht="141.75" x14ac:dyDescent="0.3">
      <c r="A232" s="74"/>
      <c r="B232" s="63"/>
      <c r="C232" s="277" t="s">
        <v>230</v>
      </c>
      <c r="D232" s="1095" t="s">
        <v>741</v>
      </c>
      <c r="E232" s="1258">
        <f>24500</f>
        <v>24500</v>
      </c>
      <c r="F232" s="1259">
        <f>29400</f>
        <v>29400</v>
      </c>
      <c r="G232" s="1259">
        <v>2500</v>
      </c>
      <c r="H232" s="1260">
        <f t="shared" si="149"/>
        <v>56400</v>
      </c>
      <c r="I232" s="1252" t="s">
        <v>232</v>
      </c>
      <c r="J232" s="1257" t="s">
        <v>1019</v>
      </c>
      <c r="K232" s="1624">
        <v>3</v>
      </c>
      <c r="L232" s="1257">
        <f>H232/3</f>
        <v>18800</v>
      </c>
      <c r="M232" s="1257">
        <f t="shared" si="150"/>
        <v>16612.176371829992</v>
      </c>
      <c r="N232" s="1257">
        <f t="shared" si="151"/>
        <v>56400</v>
      </c>
      <c r="O232" s="1463">
        <f t="shared" si="152"/>
        <v>49836.529115489975</v>
      </c>
      <c r="P232" s="1488">
        <f>53100</f>
        <v>53100</v>
      </c>
      <c r="Q232" s="1489">
        <f>47100</f>
        <v>47100</v>
      </c>
      <c r="R232" s="1489">
        <f>30200</f>
        <v>30200</v>
      </c>
      <c r="S232" s="1489"/>
      <c r="T232" s="1487">
        <f t="shared" si="170"/>
        <v>130400</v>
      </c>
      <c r="U232" s="1490" t="s">
        <v>781</v>
      </c>
      <c r="V232" s="1407">
        <f t="shared" si="169"/>
        <v>130400</v>
      </c>
      <c r="W232" s="1451">
        <f t="shared" si="154"/>
        <v>115224.88291950164</v>
      </c>
      <c r="X232" s="1407">
        <f t="shared" si="155"/>
        <v>74000</v>
      </c>
      <c r="Y232" s="1408">
        <f t="shared" si="156"/>
        <v>65388.353804011669</v>
      </c>
      <c r="Z232" s="1391" t="s">
        <v>1019</v>
      </c>
      <c r="AA232" s="1624">
        <v>6</v>
      </c>
      <c r="AB232" s="1257">
        <f>V232/6</f>
        <v>21733.333333333332</v>
      </c>
      <c r="AC232" s="1257">
        <f t="shared" si="171"/>
        <v>19204.147153250273</v>
      </c>
      <c r="AD232" s="1257">
        <f t="shared" si="158"/>
        <v>130400</v>
      </c>
      <c r="AE232" s="1257">
        <f t="shared" si="159"/>
        <v>115224.88291950164</v>
      </c>
    </row>
    <row r="233" spans="1:31" ht="101.25" x14ac:dyDescent="0.3">
      <c r="A233" s="74"/>
      <c r="B233" s="63"/>
      <c r="C233" s="350" t="s">
        <v>233</v>
      </c>
      <c r="D233" s="1110" t="s">
        <v>563</v>
      </c>
      <c r="E233" s="1258">
        <f>20100</f>
        <v>20100</v>
      </c>
      <c r="F233" s="1259">
        <f>22500</f>
        <v>22500</v>
      </c>
      <c r="G233" s="1259"/>
      <c r="H233" s="1260">
        <f t="shared" si="149"/>
        <v>42600</v>
      </c>
      <c r="I233" s="1252" t="s">
        <v>234</v>
      </c>
      <c r="J233" s="1257" t="s">
        <v>1007</v>
      </c>
      <c r="K233" s="1624">
        <v>5</v>
      </c>
      <c r="L233" s="1257">
        <f t="shared" si="160"/>
        <v>8520</v>
      </c>
      <c r="M233" s="1257">
        <f t="shared" si="150"/>
        <v>7528.4969514889108</v>
      </c>
      <c r="N233" s="1257">
        <f t="shared" si="151"/>
        <v>42600</v>
      </c>
      <c r="O233" s="1463">
        <f t="shared" si="152"/>
        <v>37642.484757444552</v>
      </c>
      <c r="P233" s="1488">
        <v>20000</v>
      </c>
      <c r="Q233" s="1489">
        <v>40100</v>
      </c>
      <c r="R233" s="1489"/>
      <c r="S233" s="1489"/>
      <c r="T233" s="1487">
        <f t="shared" si="170"/>
        <v>60100</v>
      </c>
      <c r="U233" s="1490" t="s">
        <v>621</v>
      </c>
      <c r="V233" s="1407">
        <f t="shared" si="169"/>
        <v>60100</v>
      </c>
      <c r="W233" s="1451">
        <f t="shared" si="154"/>
        <v>53105.946805690561</v>
      </c>
      <c r="X233" s="1407">
        <f t="shared" si="155"/>
        <v>17500</v>
      </c>
      <c r="Y233" s="1408">
        <f t="shared" si="156"/>
        <v>15463.462048246009</v>
      </c>
      <c r="Z233" s="1391" t="s">
        <v>1007</v>
      </c>
      <c r="AA233" s="1624">
        <v>6</v>
      </c>
      <c r="AB233" s="1257">
        <f>V233/6</f>
        <v>10016.666666666666</v>
      </c>
      <c r="AC233" s="1257">
        <f t="shared" si="171"/>
        <v>8850.9911342817595</v>
      </c>
      <c r="AD233" s="1257">
        <f t="shared" si="158"/>
        <v>60100</v>
      </c>
      <c r="AE233" s="1257">
        <f t="shared" si="159"/>
        <v>53105.946805690561</v>
      </c>
    </row>
    <row r="234" spans="1:31" ht="40.5" x14ac:dyDescent="0.3">
      <c r="A234" s="1663"/>
      <c r="B234" s="1092"/>
      <c r="C234" s="350" t="s">
        <v>531</v>
      </c>
      <c r="D234" s="1095" t="s">
        <v>532</v>
      </c>
      <c r="E234" s="1258"/>
      <c r="F234" s="1259"/>
      <c r="G234" s="1259"/>
      <c r="H234" s="1260">
        <f t="shared" si="149"/>
        <v>0</v>
      </c>
      <c r="I234" s="1253"/>
      <c r="J234" s="1257"/>
      <c r="K234" s="1624">
        <v>0</v>
      </c>
      <c r="L234" s="1257">
        <f t="shared" si="160"/>
        <v>0</v>
      </c>
      <c r="M234" s="1257">
        <f t="shared" si="150"/>
        <v>0</v>
      </c>
      <c r="N234" s="1257">
        <f t="shared" si="151"/>
        <v>0</v>
      </c>
      <c r="O234" s="1463">
        <f t="shared" si="152"/>
        <v>0</v>
      </c>
      <c r="P234" s="1488"/>
      <c r="Q234" s="1489"/>
      <c r="R234" s="1489">
        <v>0</v>
      </c>
      <c r="S234" s="1489"/>
      <c r="T234" s="1487">
        <f t="shared" si="170"/>
        <v>0</v>
      </c>
      <c r="U234" s="1490" t="s">
        <v>691</v>
      </c>
      <c r="V234" s="1407">
        <f t="shared" si="169"/>
        <v>0</v>
      </c>
      <c r="W234" s="1451">
        <f t="shared" si="154"/>
        <v>0</v>
      </c>
      <c r="X234" s="1407">
        <f t="shared" si="155"/>
        <v>0</v>
      </c>
      <c r="Y234" s="1408">
        <f t="shared" si="156"/>
        <v>0</v>
      </c>
      <c r="Z234" s="1391"/>
      <c r="AA234" s="1624"/>
      <c r="AB234" s="1257"/>
      <c r="AC234" s="1257"/>
      <c r="AD234" s="1257"/>
      <c r="AE234" s="1257">
        <f t="shared" si="159"/>
        <v>0</v>
      </c>
    </row>
    <row r="235" spans="1:31" ht="60.75" x14ac:dyDescent="0.3">
      <c r="A235" s="74"/>
      <c r="B235" s="204"/>
      <c r="C235" s="444" t="s">
        <v>694</v>
      </c>
      <c r="D235" s="1095" t="s">
        <v>693</v>
      </c>
      <c r="E235" s="1258"/>
      <c r="F235" s="1259"/>
      <c r="G235" s="1259"/>
      <c r="H235" s="1260">
        <f t="shared" si="149"/>
        <v>0</v>
      </c>
      <c r="I235" s="1253"/>
      <c r="J235" s="1257"/>
      <c r="K235" s="1624">
        <v>0</v>
      </c>
      <c r="L235" s="1257">
        <f t="shared" si="160"/>
        <v>0</v>
      </c>
      <c r="M235" s="1257">
        <f t="shared" si="150"/>
        <v>0</v>
      </c>
      <c r="N235" s="1257">
        <f t="shared" si="151"/>
        <v>0</v>
      </c>
      <c r="O235" s="1463">
        <f t="shared" si="152"/>
        <v>0</v>
      </c>
      <c r="P235" s="1488"/>
      <c r="Q235" s="1489"/>
      <c r="R235" s="1489"/>
      <c r="S235" s="1489">
        <f>17300</f>
        <v>17300</v>
      </c>
      <c r="T235" s="1487">
        <f>SUM(P235:S235)</f>
        <v>17300</v>
      </c>
      <c r="U235" s="1490" t="s">
        <v>782</v>
      </c>
      <c r="V235" s="1407">
        <f t="shared" si="169"/>
        <v>17300</v>
      </c>
      <c r="W235" s="1451">
        <f t="shared" si="154"/>
        <v>15286.73676769462</v>
      </c>
      <c r="X235" s="1407">
        <f t="shared" si="155"/>
        <v>17300</v>
      </c>
      <c r="Y235" s="1408">
        <f t="shared" si="156"/>
        <v>15286.73676769462</v>
      </c>
      <c r="Z235" s="1391" t="s">
        <v>1008</v>
      </c>
      <c r="AA235" s="1624">
        <v>15</v>
      </c>
      <c r="AB235" s="1257">
        <f>V235/15</f>
        <v>1153.3333333333333</v>
      </c>
      <c r="AC235" s="1257">
        <f t="shared" ref="AC235" si="172">AB235/1.1317</f>
        <v>1019.1157845129745</v>
      </c>
      <c r="AD235" s="1257">
        <f t="shared" ref="AD235" si="173">AA235*AB235</f>
        <v>17300</v>
      </c>
      <c r="AE235" s="1257">
        <f t="shared" si="159"/>
        <v>15286.73676769462</v>
      </c>
    </row>
    <row r="236" spans="1:31" ht="60.75" x14ac:dyDescent="0.3">
      <c r="A236" s="74"/>
      <c r="B236" s="204"/>
      <c r="C236" s="444" t="s">
        <v>696</v>
      </c>
      <c r="D236" s="1095" t="s">
        <v>695</v>
      </c>
      <c r="E236" s="1258"/>
      <c r="F236" s="1259"/>
      <c r="G236" s="1259"/>
      <c r="H236" s="1260">
        <f t="shared" si="149"/>
        <v>0</v>
      </c>
      <c r="I236" s="1271"/>
      <c r="J236" s="1257"/>
      <c r="K236" s="1624">
        <v>0</v>
      </c>
      <c r="L236" s="1257">
        <f t="shared" si="160"/>
        <v>0</v>
      </c>
      <c r="M236" s="1257">
        <f t="shared" si="150"/>
        <v>0</v>
      </c>
      <c r="N236" s="1257">
        <f t="shared" si="151"/>
        <v>0</v>
      </c>
      <c r="O236" s="1463">
        <f t="shared" si="152"/>
        <v>0</v>
      </c>
      <c r="P236" s="1488"/>
      <c r="Q236" s="1489"/>
      <c r="R236" s="1489"/>
      <c r="S236" s="1489"/>
      <c r="T236" s="1487">
        <f t="shared" ref="T236" si="174">SUM(P236:S236)</f>
        <v>0</v>
      </c>
      <c r="U236" s="1490" t="s">
        <v>691</v>
      </c>
      <c r="V236" s="1407">
        <f t="shared" si="169"/>
        <v>0</v>
      </c>
      <c r="W236" s="1451">
        <f t="shared" si="154"/>
        <v>0</v>
      </c>
      <c r="X236" s="1407">
        <f t="shared" ref="X236:X254" si="175">V236-N236</f>
        <v>0</v>
      </c>
      <c r="Y236" s="1408">
        <f t="shared" ref="Y236:Y254" si="176">W236-O236</f>
        <v>0</v>
      </c>
      <c r="Z236" s="1391"/>
      <c r="AA236" s="1624"/>
      <c r="AB236" s="1257"/>
      <c r="AC236" s="1257"/>
      <c r="AD236" s="1257"/>
      <c r="AE236" s="1257">
        <f t="shared" si="159"/>
        <v>0</v>
      </c>
    </row>
    <row r="237" spans="1:31" ht="60.75" x14ac:dyDescent="0.3">
      <c r="A237" s="224"/>
      <c r="B237" s="63"/>
      <c r="C237" s="277" t="s">
        <v>235</v>
      </c>
      <c r="D237" s="1095" t="s">
        <v>740</v>
      </c>
      <c r="E237" s="1258">
        <f>28595</f>
        <v>28595</v>
      </c>
      <c r="F237" s="1259"/>
      <c r="G237" s="1259"/>
      <c r="H237" s="1260">
        <f t="shared" si="149"/>
        <v>28595</v>
      </c>
      <c r="I237" s="1253" t="s">
        <v>237</v>
      </c>
      <c r="J237" s="1257" t="s">
        <v>993</v>
      </c>
      <c r="K237" s="1624">
        <v>45</v>
      </c>
      <c r="L237" s="1257">
        <f>H237/45</f>
        <v>635.44444444444446</v>
      </c>
      <c r="M237" s="1257">
        <f t="shared" si="150"/>
        <v>561.49548859631045</v>
      </c>
      <c r="N237" s="1257">
        <f t="shared" si="151"/>
        <v>28595</v>
      </c>
      <c r="O237" s="1463">
        <f t="shared" si="152"/>
        <v>25267.296986833968</v>
      </c>
      <c r="P237" s="1488">
        <f>34300</f>
        <v>34300</v>
      </c>
      <c r="Q237" s="1489"/>
      <c r="R237" s="1489"/>
      <c r="S237" s="1489"/>
      <c r="T237" s="1487">
        <f t="shared" si="170"/>
        <v>34300</v>
      </c>
      <c r="U237" s="1490" t="s">
        <v>622</v>
      </c>
      <c r="V237" s="1407">
        <f t="shared" si="169"/>
        <v>34300</v>
      </c>
      <c r="W237" s="1451">
        <f t="shared" si="154"/>
        <v>30308.385614562165</v>
      </c>
      <c r="X237" s="1407">
        <f t="shared" si="175"/>
        <v>5705</v>
      </c>
      <c r="Y237" s="1408">
        <f t="shared" si="176"/>
        <v>5041.088627728197</v>
      </c>
      <c r="Z237" s="1391" t="s">
        <v>993</v>
      </c>
      <c r="AA237" s="1624">
        <v>45</v>
      </c>
      <c r="AB237" s="1257">
        <f>V237/45</f>
        <v>762.22222222222217</v>
      </c>
      <c r="AC237" s="1257">
        <f t="shared" si="171"/>
        <v>673.51968032360367</v>
      </c>
      <c r="AD237" s="1257">
        <f t="shared" si="158"/>
        <v>34300</v>
      </c>
      <c r="AE237" s="1257">
        <f t="shared" si="159"/>
        <v>30308.385614562165</v>
      </c>
    </row>
    <row r="238" spans="1:31" ht="81" x14ac:dyDescent="0.3">
      <c r="A238" s="74"/>
      <c r="B238" s="63"/>
      <c r="C238" s="350" t="s">
        <v>238</v>
      </c>
      <c r="D238" s="1127" t="s">
        <v>239</v>
      </c>
      <c r="E238" s="1258">
        <f>20000</f>
        <v>20000</v>
      </c>
      <c r="F238" s="1272"/>
      <c r="G238" s="1272"/>
      <c r="H238" s="1260">
        <f t="shared" si="149"/>
        <v>20000</v>
      </c>
      <c r="I238" s="1253" t="s">
        <v>240</v>
      </c>
      <c r="J238" s="1257" t="s">
        <v>1008</v>
      </c>
      <c r="K238" s="1624">
        <v>2</v>
      </c>
      <c r="L238" s="1257">
        <f>H238/2</f>
        <v>10000</v>
      </c>
      <c r="M238" s="1257">
        <f t="shared" si="150"/>
        <v>8836.2640275691447</v>
      </c>
      <c r="N238" s="1257">
        <f t="shared" si="151"/>
        <v>20000</v>
      </c>
      <c r="O238" s="1463">
        <f t="shared" si="152"/>
        <v>17672.528055138289</v>
      </c>
      <c r="P238" s="1488">
        <f>28900</f>
        <v>28900</v>
      </c>
      <c r="Q238" s="1489"/>
      <c r="R238" s="1489"/>
      <c r="S238" s="1489"/>
      <c r="T238" s="1487">
        <f t="shared" si="170"/>
        <v>28900</v>
      </c>
      <c r="U238" s="1490" t="s">
        <v>623</v>
      </c>
      <c r="V238" s="1407">
        <f t="shared" si="169"/>
        <v>28900</v>
      </c>
      <c r="W238" s="1451">
        <f t="shared" si="154"/>
        <v>25536.803039674825</v>
      </c>
      <c r="X238" s="1407">
        <f t="shared" si="175"/>
        <v>8900</v>
      </c>
      <c r="Y238" s="1408">
        <f t="shared" si="176"/>
        <v>7864.2749845365361</v>
      </c>
      <c r="Z238" s="1391" t="s">
        <v>1008</v>
      </c>
      <c r="AA238" s="1624">
        <v>2</v>
      </c>
      <c r="AB238" s="1257">
        <f>V238/2</f>
        <v>14450</v>
      </c>
      <c r="AC238" s="1257">
        <f t="shared" si="171"/>
        <v>12768.401519837413</v>
      </c>
      <c r="AD238" s="1257">
        <f t="shared" si="158"/>
        <v>28900</v>
      </c>
      <c r="AE238" s="1257">
        <f t="shared" si="159"/>
        <v>25536.803039674825</v>
      </c>
    </row>
    <row r="239" spans="1:31" ht="40.5" x14ac:dyDescent="0.3">
      <c r="A239" s="74"/>
      <c r="B239" s="1092"/>
      <c r="C239" s="350" t="s">
        <v>564</v>
      </c>
      <c r="D239" s="1127" t="s">
        <v>241</v>
      </c>
      <c r="E239" s="1258">
        <f>700</f>
        <v>700</v>
      </c>
      <c r="F239" s="1272">
        <f>700</f>
        <v>700</v>
      </c>
      <c r="G239" s="1272"/>
      <c r="H239" s="1260">
        <f t="shared" si="149"/>
        <v>1400</v>
      </c>
      <c r="I239" s="1271" t="s">
        <v>242</v>
      </c>
      <c r="J239" s="1257" t="s">
        <v>1008</v>
      </c>
      <c r="K239" s="1624">
        <v>4</v>
      </c>
      <c r="L239" s="1257">
        <f>H239/4</f>
        <v>350</v>
      </c>
      <c r="M239" s="1257">
        <f t="shared" si="150"/>
        <v>309.26924096492007</v>
      </c>
      <c r="N239" s="1257">
        <f t="shared" si="151"/>
        <v>1400</v>
      </c>
      <c r="O239" s="1463">
        <f t="shared" si="152"/>
        <v>1237.0769638596803</v>
      </c>
      <c r="P239" s="1488"/>
      <c r="Q239" s="1489"/>
      <c r="R239" s="1489"/>
      <c r="S239" s="1489"/>
      <c r="T239" s="1487"/>
      <c r="U239" s="1490"/>
      <c r="V239" s="1407"/>
      <c r="W239" s="1451">
        <f t="shared" si="154"/>
        <v>0</v>
      </c>
      <c r="X239" s="1407">
        <f t="shared" si="175"/>
        <v>-1400</v>
      </c>
      <c r="Y239" s="1408">
        <f t="shared" si="176"/>
        <v>-1237.0769638596803</v>
      </c>
      <c r="Z239" s="1391"/>
      <c r="AA239" s="1624"/>
      <c r="AB239" s="1257"/>
      <c r="AC239" s="1257"/>
      <c r="AD239" s="1257"/>
      <c r="AE239" s="1257">
        <f t="shared" si="159"/>
        <v>0</v>
      </c>
    </row>
    <row r="240" spans="1:31" ht="60.75" x14ac:dyDescent="0.3">
      <c r="A240" s="74"/>
      <c r="B240" s="63"/>
      <c r="C240" s="277" t="s">
        <v>243</v>
      </c>
      <c r="D240" s="1108" t="s">
        <v>565</v>
      </c>
      <c r="E240" s="1273">
        <f>5000</f>
        <v>5000</v>
      </c>
      <c r="F240" s="1272">
        <f>5000</f>
        <v>5000</v>
      </c>
      <c r="G240" s="1272"/>
      <c r="H240" s="1260">
        <f t="shared" si="149"/>
        <v>10000</v>
      </c>
      <c r="I240" s="1271" t="s">
        <v>244</v>
      </c>
      <c r="J240" s="1257" t="s">
        <v>1008</v>
      </c>
      <c r="K240" s="1624">
        <v>4</v>
      </c>
      <c r="L240" s="1257">
        <f>H240/4</f>
        <v>2500</v>
      </c>
      <c r="M240" s="1257">
        <f t="shared" si="150"/>
        <v>2209.0660068922862</v>
      </c>
      <c r="N240" s="1257">
        <f t="shared" si="151"/>
        <v>10000</v>
      </c>
      <c r="O240" s="1463">
        <f t="shared" si="152"/>
        <v>8836.2640275691447</v>
      </c>
      <c r="P240" s="1488">
        <v>4400</v>
      </c>
      <c r="Q240" s="1489"/>
      <c r="R240" s="1489"/>
      <c r="S240" s="1489"/>
      <c r="T240" s="1487">
        <f t="shared" si="170"/>
        <v>4400</v>
      </c>
      <c r="U240" s="1540" t="s">
        <v>783</v>
      </c>
      <c r="V240" s="1407">
        <f>P240+Q240+R240+S240</f>
        <v>4400</v>
      </c>
      <c r="W240" s="1451">
        <f t="shared" si="154"/>
        <v>3887.9561721304235</v>
      </c>
      <c r="X240" s="1407">
        <f t="shared" si="175"/>
        <v>-5600</v>
      </c>
      <c r="Y240" s="1408">
        <f t="shared" si="176"/>
        <v>-4948.3078554387212</v>
      </c>
      <c r="Z240" s="1391" t="s">
        <v>1008</v>
      </c>
      <c r="AA240" s="1624">
        <v>2</v>
      </c>
      <c r="AB240" s="1257">
        <f>V240/2</f>
        <v>2200</v>
      </c>
      <c r="AC240" s="1257">
        <f t="shared" si="171"/>
        <v>1943.9780860652118</v>
      </c>
      <c r="AD240" s="1257">
        <f t="shared" si="158"/>
        <v>4400</v>
      </c>
      <c r="AE240" s="1257">
        <f t="shared" si="159"/>
        <v>3887.9561721304235</v>
      </c>
    </row>
    <row r="241" spans="1:31" ht="40.5" x14ac:dyDescent="0.3">
      <c r="A241" s="74"/>
      <c r="B241" s="1092"/>
      <c r="C241" s="277" t="s">
        <v>566</v>
      </c>
      <c r="D241" s="1108" t="s">
        <v>245</v>
      </c>
      <c r="E241" s="1273">
        <f>2500</f>
        <v>2500</v>
      </c>
      <c r="F241" s="1272"/>
      <c r="G241" s="1272"/>
      <c r="H241" s="1260">
        <f t="shared" si="149"/>
        <v>2500</v>
      </c>
      <c r="I241" s="1271" t="s">
        <v>246</v>
      </c>
      <c r="J241" s="1257" t="s">
        <v>1001</v>
      </c>
      <c r="K241" s="1624">
        <v>5</v>
      </c>
      <c r="L241" s="1257">
        <f>H241/5</f>
        <v>500</v>
      </c>
      <c r="M241" s="1257">
        <f t="shared" si="150"/>
        <v>441.81320137845722</v>
      </c>
      <c r="N241" s="1257">
        <f t="shared" si="151"/>
        <v>2500</v>
      </c>
      <c r="O241" s="1463">
        <f t="shared" si="152"/>
        <v>2209.0660068922862</v>
      </c>
      <c r="P241" s="1488"/>
      <c r="Q241" s="1489"/>
      <c r="R241" s="1489"/>
      <c r="S241" s="1489"/>
      <c r="T241" s="1487"/>
      <c r="U241" s="1540"/>
      <c r="V241" s="1407"/>
      <c r="W241" s="1451">
        <f t="shared" si="154"/>
        <v>0</v>
      </c>
      <c r="X241" s="1407">
        <f t="shared" si="175"/>
        <v>-2500</v>
      </c>
      <c r="Y241" s="1408">
        <f t="shared" si="176"/>
        <v>-2209.0660068922862</v>
      </c>
      <c r="Z241" s="1391"/>
      <c r="AA241" s="1624"/>
      <c r="AB241" s="1257"/>
      <c r="AC241" s="1257"/>
      <c r="AD241" s="1257"/>
      <c r="AE241" s="1257">
        <f t="shared" si="159"/>
        <v>0</v>
      </c>
    </row>
    <row r="242" spans="1:31" ht="40.5" x14ac:dyDescent="0.3">
      <c r="A242" s="74"/>
      <c r="B242" s="63"/>
      <c r="C242" s="350" t="s">
        <v>247</v>
      </c>
      <c r="D242" s="1127" t="s">
        <v>248</v>
      </c>
      <c r="E242" s="1273">
        <f>850</f>
        <v>850</v>
      </c>
      <c r="F242" s="1272"/>
      <c r="G242" s="1272"/>
      <c r="H242" s="1260">
        <f t="shared" si="149"/>
        <v>850</v>
      </c>
      <c r="I242" s="1271" t="s">
        <v>249</v>
      </c>
      <c r="J242" s="1257" t="s">
        <v>1008</v>
      </c>
      <c r="K242" s="1624">
        <v>2</v>
      </c>
      <c r="L242" s="1257">
        <f>H242/2</f>
        <v>425</v>
      </c>
      <c r="M242" s="1257">
        <f t="shared" si="150"/>
        <v>375.54122117168862</v>
      </c>
      <c r="N242" s="1257">
        <f t="shared" si="151"/>
        <v>850</v>
      </c>
      <c r="O242" s="1463">
        <f t="shared" si="152"/>
        <v>751.08244234337724</v>
      </c>
      <c r="P242" s="1488">
        <v>1551</v>
      </c>
      <c r="Q242" s="1489"/>
      <c r="R242" s="1489"/>
      <c r="S242" s="1489"/>
      <c r="T242" s="1487">
        <f t="shared" si="170"/>
        <v>1551</v>
      </c>
      <c r="U242" s="1540" t="s">
        <v>624</v>
      </c>
      <c r="V242" s="1407">
        <f t="shared" ref="V242:V247" si="177">P242+Q242+R242+S242</f>
        <v>1551</v>
      </c>
      <c r="W242" s="1451">
        <f t="shared" si="154"/>
        <v>1370.5045506759743</v>
      </c>
      <c r="X242" s="1407">
        <f t="shared" si="175"/>
        <v>701</v>
      </c>
      <c r="Y242" s="1408">
        <f t="shared" si="176"/>
        <v>619.42210833259708</v>
      </c>
      <c r="Z242" s="1391" t="s">
        <v>1008</v>
      </c>
      <c r="AA242" s="1624">
        <v>2</v>
      </c>
      <c r="AB242" s="1257">
        <f>V242/2</f>
        <v>775.5</v>
      </c>
      <c r="AC242" s="1257">
        <f t="shared" si="171"/>
        <v>685.25227533798716</v>
      </c>
      <c r="AD242" s="1257">
        <f t="shared" si="158"/>
        <v>1551</v>
      </c>
      <c r="AE242" s="1257">
        <f t="shared" si="159"/>
        <v>1370.5045506759743</v>
      </c>
    </row>
    <row r="243" spans="1:31" ht="60.75" x14ac:dyDescent="0.3">
      <c r="A243" s="74"/>
      <c r="B243" s="138"/>
      <c r="C243" s="277" t="s">
        <v>250</v>
      </c>
      <c r="D243" s="1108" t="s">
        <v>567</v>
      </c>
      <c r="E243" s="1273">
        <f>900</f>
        <v>900</v>
      </c>
      <c r="F243" s="1272"/>
      <c r="G243" s="1272"/>
      <c r="H243" s="1260">
        <f t="shared" si="149"/>
        <v>900</v>
      </c>
      <c r="I243" s="1271" t="s">
        <v>251</v>
      </c>
      <c r="J243" s="1257" t="s">
        <v>1020</v>
      </c>
      <c r="K243" s="1624">
        <v>18</v>
      </c>
      <c r="L243" s="1257">
        <f>H243/18</f>
        <v>50</v>
      </c>
      <c r="M243" s="1257">
        <f t="shared" si="150"/>
        <v>44.181320137845724</v>
      </c>
      <c r="N243" s="1257">
        <f t="shared" si="151"/>
        <v>900</v>
      </c>
      <c r="O243" s="1463">
        <f t="shared" si="152"/>
        <v>795.26376248122301</v>
      </c>
      <c r="P243" s="1488">
        <v>820</v>
      </c>
      <c r="Q243" s="1489"/>
      <c r="R243" s="1489"/>
      <c r="S243" s="1489"/>
      <c r="T243" s="1487">
        <f t="shared" si="170"/>
        <v>820</v>
      </c>
      <c r="U243" s="1540" t="s">
        <v>625</v>
      </c>
      <c r="V243" s="1407">
        <f t="shared" si="177"/>
        <v>820</v>
      </c>
      <c r="W243" s="1451">
        <f t="shared" si="154"/>
        <v>724.57365026066987</v>
      </c>
      <c r="X243" s="1407">
        <f t="shared" si="175"/>
        <v>-80</v>
      </c>
      <c r="Y243" s="1408">
        <f t="shared" si="176"/>
        <v>-70.690112220553146</v>
      </c>
      <c r="Z243" s="1391" t="s">
        <v>1020</v>
      </c>
      <c r="AA243" s="1624">
        <v>15</v>
      </c>
      <c r="AB243" s="1257">
        <f>820/15</f>
        <v>54.666666666666664</v>
      </c>
      <c r="AC243" s="1257">
        <f t="shared" si="171"/>
        <v>48.304910017377985</v>
      </c>
      <c r="AD243" s="1257">
        <f t="shared" si="158"/>
        <v>820</v>
      </c>
      <c r="AE243" s="1257">
        <f t="shared" si="159"/>
        <v>724.57365026066987</v>
      </c>
    </row>
    <row r="244" spans="1:31" ht="60.75" x14ac:dyDescent="0.3">
      <c r="A244" s="74"/>
      <c r="B244" s="63"/>
      <c r="C244" s="350" t="s">
        <v>252</v>
      </c>
      <c r="D244" s="1127" t="s">
        <v>626</v>
      </c>
      <c r="E244" s="1273">
        <f>2350</f>
        <v>2350</v>
      </c>
      <c r="F244" s="1272">
        <f>2350</f>
        <v>2350</v>
      </c>
      <c r="G244" s="1272">
        <f>2350</f>
        <v>2350</v>
      </c>
      <c r="H244" s="1260">
        <f t="shared" si="149"/>
        <v>7050</v>
      </c>
      <c r="I244" s="1271" t="s">
        <v>253</v>
      </c>
      <c r="J244" s="1257" t="s">
        <v>1008</v>
      </c>
      <c r="K244" s="1624">
        <v>3</v>
      </c>
      <c r="L244" s="1257">
        <f>H244/3</f>
        <v>2350</v>
      </c>
      <c r="M244" s="1257">
        <f t="shared" si="150"/>
        <v>2076.522046478749</v>
      </c>
      <c r="N244" s="1257">
        <f t="shared" si="151"/>
        <v>7050</v>
      </c>
      <c r="O244" s="1463">
        <f t="shared" si="152"/>
        <v>6229.5661394362469</v>
      </c>
      <c r="P244" s="1488">
        <v>1900</v>
      </c>
      <c r="Q244" s="1489"/>
      <c r="R244" s="1489">
        <v>5400</v>
      </c>
      <c r="S244" s="1489"/>
      <c r="T244" s="1487">
        <f t="shared" si="170"/>
        <v>7300</v>
      </c>
      <c r="U244" s="1540" t="s">
        <v>627</v>
      </c>
      <c r="V244" s="1407">
        <f t="shared" si="177"/>
        <v>7300</v>
      </c>
      <c r="W244" s="1451">
        <f t="shared" si="154"/>
        <v>6450.472740125475</v>
      </c>
      <c r="X244" s="1407">
        <f t="shared" si="175"/>
        <v>250</v>
      </c>
      <c r="Y244" s="1408">
        <f t="shared" si="176"/>
        <v>220.90660068922807</v>
      </c>
      <c r="Z244" s="1391" t="s">
        <v>1008</v>
      </c>
      <c r="AA244" s="1624">
        <v>2</v>
      </c>
      <c r="AB244" s="1257">
        <f>V244/2</f>
        <v>3650</v>
      </c>
      <c r="AC244" s="1257">
        <f t="shared" si="171"/>
        <v>3225.2363700627375</v>
      </c>
      <c r="AD244" s="1257">
        <f t="shared" si="158"/>
        <v>7300</v>
      </c>
      <c r="AE244" s="1257">
        <f t="shared" si="159"/>
        <v>6450.472740125475</v>
      </c>
    </row>
    <row r="245" spans="1:31" ht="81" x14ac:dyDescent="0.3">
      <c r="A245" s="74"/>
      <c r="B245" s="204"/>
      <c r="C245" s="467" t="s">
        <v>700</v>
      </c>
      <c r="D245" s="1117" t="s">
        <v>697</v>
      </c>
      <c r="E245" s="1258"/>
      <c r="F245" s="1259"/>
      <c r="G245" s="1259"/>
      <c r="H245" s="1260">
        <f t="shared" si="149"/>
        <v>0</v>
      </c>
      <c r="I245" s="1252"/>
      <c r="J245" s="1257"/>
      <c r="K245" s="1624">
        <v>0</v>
      </c>
      <c r="L245" s="1257">
        <f t="shared" si="160"/>
        <v>0</v>
      </c>
      <c r="M245" s="1257">
        <f t="shared" si="150"/>
        <v>0</v>
      </c>
      <c r="N245" s="1257">
        <f t="shared" si="151"/>
        <v>0</v>
      </c>
      <c r="O245" s="1463">
        <f t="shared" si="152"/>
        <v>0</v>
      </c>
      <c r="P245" s="1526"/>
      <c r="Q245" s="1527"/>
      <c r="R245" s="1527"/>
      <c r="S245" s="1489">
        <f>6000</f>
        <v>6000</v>
      </c>
      <c r="T245" s="1487">
        <f t="shared" ref="T245" si="178">SUM(P245:S245)</f>
        <v>6000</v>
      </c>
      <c r="U245" s="1490" t="s">
        <v>698</v>
      </c>
      <c r="V245" s="1407">
        <f t="shared" si="177"/>
        <v>6000</v>
      </c>
      <c r="W245" s="1451">
        <f t="shared" si="154"/>
        <v>5301.7584165414864</v>
      </c>
      <c r="X245" s="1407">
        <f t="shared" si="175"/>
        <v>6000</v>
      </c>
      <c r="Y245" s="1408">
        <f t="shared" si="176"/>
        <v>5301.7584165414864</v>
      </c>
      <c r="Z245" s="1391" t="s">
        <v>1008</v>
      </c>
      <c r="AA245" s="1624">
        <v>2</v>
      </c>
      <c r="AB245" s="1257">
        <f>V245/2</f>
        <v>3000</v>
      </c>
      <c r="AC245" s="1257">
        <f t="shared" ref="AC245" si="179">AB245/1.1317</f>
        <v>2650.8792082707432</v>
      </c>
      <c r="AD245" s="1257">
        <f t="shared" ref="AD245" si="180">AA245*AB245</f>
        <v>6000</v>
      </c>
      <c r="AE245" s="1257">
        <f t="shared" si="159"/>
        <v>5301.7584165414864</v>
      </c>
    </row>
    <row r="246" spans="1:31" ht="121.5" x14ac:dyDescent="0.3">
      <c r="A246" s="74"/>
      <c r="B246" s="63"/>
      <c r="C246" s="359" t="s">
        <v>254</v>
      </c>
      <c r="D246" s="1128" t="s">
        <v>255</v>
      </c>
      <c r="E246" s="1273"/>
      <c r="F246" s="1272">
        <f>27700</f>
        <v>27700</v>
      </c>
      <c r="G246" s="1272"/>
      <c r="H246" s="1260">
        <f t="shared" si="149"/>
        <v>27700</v>
      </c>
      <c r="I246" s="1252" t="s">
        <v>256</v>
      </c>
      <c r="J246" s="1257" t="s">
        <v>1015</v>
      </c>
      <c r="K246" s="1624">
        <v>5</v>
      </c>
      <c r="L246" s="1257">
        <f t="shared" si="160"/>
        <v>5540</v>
      </c>
      <c r="M246" s="1257">
        <f t="shared" si="150"/>
        <v>4895.2902712733057</v>
      </c>
      <c r="N246" s="1257">
        <f t="shared" si="151"/>
        <v>27700</v>
      </c>
      <c r="O246" s="1463">
        <f t="shared" si="152"/>
        <v>24476.451356366531</v>
      </c>
      <c r="P246" s="1488">
        <f>-115.3</f>
        <v>-115.3</v>
      </c>
      <c r="Q246" s="1489"/>
      <c r="R246" s="1489"/>
      <c r="S246" s="1489"/>
      <c r="T246" s="1487">
        <f t="shared" si="170"/>
        <v>-115.3</v>
      </c>
      <c r="U246" s="1540" t="s">
        <v>628</v>
      </c>
      <c r="V246" s="1407">
        <f t="shared" si="177"/>
        <v>-115.3</v>
      </c>
      <c r="W246" s="1451">
        <f t="shared" si="154"/>
        <v>-101.88212423787223</v>
      </c>
      <c r="X246" s="1407">
        <f t="shared" si="175"/>
        <v>-27815.3</v>
      </c>
      <c r="Y246" s="1408">
        <f t="shared" si="176"/>
        <v>-24578.333480604404</v>
      </c>
      <c r="Z246" s="1391" t="s">
        <v>1015</v>
      </c>
      <c r="AA246" s="1624">
        <v>1</v>
      </c>
      <c r="AB246" s="1257">
        <v>-115.3</v>
      </c>
      <c r="AC246" s="1257">
        <f t="shared" si="171"/>
        <v>-101.88212423787223</v>
      </c>
      <c r="AD246" s="1257">
        <f t="shared" si="158"/>
        <v>-115.3</v>
      </c>
      <c r="AE246" s="1257">
        <f t="shared" si="159"/>
        <v>-101.88212423787223</v>
      </c>
    </row>
    <row r="247" spans="1:31" ht="81" x14ac:dyDescent="0.3">
      <c r="A247" s="74"/>
      <c r="B247" s="63"/>
      <c r="C247" s="64" t="s">
        <v>257</v>
      </c>
      <c r="D247" s="1098" t="s">
        <v>871</v>
      </c>
      <c r="E247" s="1258">
        <f>118431</f>
        <v>118431</v>
      </c>
      <c r="F247" s="1259"/>
      <c r="G247" s="1259"/>
      <c r="H247" s="1260">
        <f t="shared" si="149"/>
        <v>118431</v>
      </c>
      <c r="I247" s="1252" t="s">
        <v>1021</v>
      </c>
      <c r="J247" s="1257" t="s">
        <v>993</v>
      </c>
      <c r="K247" s="1624">
        <v>200</v>
      </c>
      <c r="L247" s="1257">
        <f>H247/200</f>
        <v>592.15499999999997</v>
      </c>
      <c r="M247" s="1257">
        <f t="shared" si="150"/>
        <v>523.24379252452059</v>
      </c>
      <c r="N247" s="1257">
        <f t="shared" si="151"/>
        <v>118431</v>
      </c>
      <c r="O247" s="1463">
        <f t="shared" si="152"/>
        <v>104648.75850490414</v>
      </c>
      <c r="P247" s="1488">
        <f>143100</f>
        <v>143100</v>
      </c>
      <c r="Q247" s="1489"/>
      <c r="R247" s="1489">
        <f>28700</f>
        <v>28700</v>
      </c>
      <c r="S247" s="1489"/>
      <c r="T247" s="1487">
        <f t="shared" si="170"/>
        <v>171800</v>
      </c>
      <c r="U247" s="1540" t="s">
        <v>1056</v>
      </c>
      <c r="V247" s="1407">
        <f t="shared" si="177"/>
        <v>171800</v>
      </c>
      <c r="W247" s="1451">
        <f t="shared" si="154"/>
        <v>151807.01599363791</v>
      </c>
      <c r="X247" s="1407">
        <f t="shared" si="175"/>
        <v>53369</v>
      </c>
      <c r="Y247" s="1408">
        <f t="shared" si="176"/>
        <v>47158.257488733769</v>
      </c>
      <c r="Z247" s="1391" t="s">
        <v>993</v>
      </c>
      <c r="AA247" s="1624">
        <v>260</v>
      </c>
      <c r="AB247" s="1257">
        <f>V247/260</f>
        <v>660.76923076923072</v>
      </c>
      <c r="AC247" s="1257">
        <f t="shared" si="171"/>
        <v>583.87313843706875</v>
      </c>
      <c r="AD247" s="1257">
        <f t="shared" si="158"/>
        <v>171800</v>
      </c>
      <c r="AE247" s="1257">
        <f t="shared" si="159"/>
        <v>151807.01599363791</v>
      </c>
    </row>
    <row r="248" spans="1:31" ht="40.5" x14ac:dyDescent="0.3">
      <c r="A248" s="74"/>
      <c r="B248" s="204"/>
      <c r="C248" s="360" t="s">
        <v>533</v>
      </c>
      <c r="D248" s="1110" t="s">
        <v>534</v>
      </c>
      <c r="E248" s="1258"/>
      <c r="F248" s="1259"/>
      <c r="G248" s="1259"/>
      <c r="H248" s="1260">
        <f t="shared" si="149"/>
        <v>0</v>
      </c>
      <c r="I248" s="1252"/>
      <c r="J248" s="1257"/>
      <c r="K248" s="1624">
        <v>0</v>
      </c>
      <c r="L248" s="1257">
        <f t="shared" si="160"/>
        <v>0</v>
      </c>
      <c r="M248" s="1257">
        <f t="shared" si="150"/>
        <v>0</v>
      </c>
      <c r="N248" s="1257">
        <f t="shared" si="151"/>
        <v>0</v>
      </c>
      <c r="O248" s="1463">
        <f t="shared" si="152"/>
        <v>0</v>
      </c>
      <c r="P248" s="1539"/>
      <c r="Q248" s="1541"/>
      <c r="R248" s="1541"/>
      <c r="S248" s="1489"/>
      <c r="T248" s="1487"/>
      <c r="U248" s="1490"/>
      <c r="V248" s="1407"/>
      <c r="W248" s="1451">
        <f t="shared" si="154"/>
        <v>0</v>
      </c>
      <c r="X248" s="1407">
        <f t="shared" si="175"/>
        <v>0</v>
      </c>
      <c r="Y248" s="1408">
        <f t="shared" si="176"/>
        <v>0</v>
      </c>
      <c r="Z248" s="1391"/>
      <c r="AA248" s="1624">
        <v>0</v>
      </c>
      <c r="AB248" s="1257">
        <f>V248/150</f>
        <v>0</v>
      </c>
      <c r="AC248" s="1257">
        <f t="shared" si="171"/>
        <v>0</v>
      </c>
      <c r="AD248" s="1257">
        <f t="shared" si="158"/>
        <v>0</v>
      </c>
      <c r="AE248" s="1257">
        <f t="shared" si="159"/>
        <v>0</v>
      </c>
    </row>
    <row r="249" spans="1:31" ht="60.75" x14ac:dyDescent="0.3">
      <c r="A249" s="74"/>
      <c r="B249" s="152"/>
      <c r="C249" s="362" t="s">
        <v>258</v>
      </c>
      <c r="D249" s="1111" t="s">
        <v>259</v>
      </c>
      <c r="E249" s="1274">
        <f>16471</f>
        <v>16471</v>
      </c>
      <c r="F249" s="1275"/>
      <c r="G249" s="1275"/>
      <c r="H249" s="1260">
        <f t="shared" si="149"/>
        <v>16471</v>
      </c>
      <c r="I249" s="1252" t="s">
        <v>260</v>
      </c>
      <c r="J249" s="1257" t="s">
        <v>1008</v>
      </c>
      <c r="K249" s="1624">
        <v>30</v>
      </c>
      <c r="L249" s="1257">
        <f>H249/30</f>
        <v>549.0333333333333</v>
      </c>
      <c r="M249" s="1257">
        <f t="shared" si="150"/>
        <v>485.1403493269712</v>
      </c>
      <c r="N249" s="1257">
        <f t="shared" si="151"/>
        <v>16471</v>
      </c>
      <c r="O249" s="1463">
        <f t="shared" si="152"/>
        <v>14554.210479809137</v>
      </c>
      <c r="P249" s="1539">
        <f>8200</f>
        <v>8200</v>
      </c>
      <c r="Q249" s="1541"/>
      <c r="R249" s="1541"/>
      <c r="S249" s="1541"/>
      <c r="T249" s="1541">
        <f t="shared" si="170"/>
        <v>8200</v>
      </c>
      <c r="U249" s="1542" t="s">
        <v>906</v>
      </c>
      <c r="V249" s="1407">
        <f t="shared" ref="V249:V254" si="181">P249+Q249+R249+S249</f>
        <v>8200</v>
      </c>
      <c r="W249" s="1451">
        <f t="shared" si="154"/>
        <v>7245.7365026066982</v>
      </c>
      <c r="X249" s="1407">
        <f t="shared" si="175"/>
        <v>-8271</v>
      </c>
      <c r="Y249" s="1408">
        <f t="shared" si="176"/>
        <v>-7308.4739772024386</v>
      </c>
      <c r="Z249" s="1391" t="s">
        <v>1008</v>
      </c>
      <c r="AA249" s="1624">
        <v>40</v>
      </c>
      <c r="AB249" s="1257">
        <f>V249/40</f>
        <v>205</v>
      </c>
      <c r="AC249" s="1257">
        <f t="shared" si="171"/>
        <v>181.14341256516747</v>
      </c>
      <c r="AD249" s="1257">
        <f t="shared" si="158"/>
        <v>8200</v>
      </c>
      <c r="AE249" s="1257">
        <f t="shared" si="159"/>
        <v>7245.7365026066982</v>
      </c>
    </row>
    <row r="250" spans="1:31" ht="60.75" x14ac:dyDescent="0.3">
      <c r="A250" s="74"/>
      <c r="B250" s="63"/>
      <c r="C250" s="277" t="s">
        <v>261</v>
      </c>
      <c r="D250" s="1095" t="s">
        <v>262</v>
      </c>
      <c r="E250" s="1258">
        <f>4380</f>
        <v>4380</v>
      </c>
      <c r="F250" s="1259"/>
      <c r="G250" s="1259"/>
      <c r="H250" s="1260">
        <f t="shared" si="149"/>
        <v>4380</v>
      </c>
      <c r="I250" s="1252" t="s">
        <v>263</v>
      </c>
      <c r="J250" s="1257" t="s">
        <v>1008</v>
      </c>
      <c r="K250" s="1624">
        <v>6</v>
      </c>
      <c r="L250" s="1257">
        <f>H250/6</f>
        <v>730</v>
      </c>
      <c r="M250" s="1257">
        <f t="shared" si="150"/>
        <v>645.04727401254752</v>
      </c>
      <c r="N250" s="1257">
        <f t="shared" si="151"/>
        <v>4380</v>
      </c>
      <c r="O250" s="1463">
        <f t="shared" si="152"/>
        <v>3870.2836440752853</v>
      </c>
      <c r="P250" s="1488">
        <v>1350</v>
      </c>
      <c r="Q250" s="1489"/>
      <c r="R250" s="1489"/>
      <c r="S250" s="1489"/>
      <c r="T250" s="1487">
        <f t="shared" si="170"/>
        <v>1350</v>
      </c>
      <c r="U250" s="1490" t="s">
        <v>631</v>
      </c>
      <c r="V250" s="1407">
        <f t="shared" si="181"/>
        <v>1350</v>
      </c>
      <c r="W250" s="1451">
        <f t="shared" si="154"/>
        <v>1192.8956437218344</v>
      </c>
      <c r="X250" s="1407">
        <f t="shared" si="175"/>
        <v>-3030</v>
      </c>
      <c r="Y250" s="1408">
        <f t="shared" si="176"/>
        <v>-2677.3880003534509</v>
      </c>
      <c r="Z250" s="1391" t="s">
        <v>1008</v>
      </c>
      <c r="AA250" s="1624">
        <v>6</v>
      </c>
      <c r="AB250" s="1257">
        <f>V250/6</f>
        <v>225</v>
      </c>
      <c r="AC250" s="1257">
        <f t="shared" si="171"/>
        <v>198.81594062030575</v>
      </c>
      <c r="AD250" s="1257">
        <f t="shared" si="158"/>
        <v>1350</v>
      </c>
      <c r="AE250" s="1257">
        <f t="shared" si="159"/>
        <v>1192.8956437218344</v>
      </c>
    </row>
    <row r="251" spans="1:31" ht="60.75" x14ac:dyDescent="0.3">
      <c r="A251" s="74"/>
      <c r="B251" s="63"/>
      <c r="C251" s="332" t="s">
        <v>264</v>
      </c>
      <c r="D251" s="1110" t="s">
        <v>265</v>
      </c>
      <c r="E251" s="1258">
        <f>7200</f>
        <v>7200</v>
      </c>
      <c r="F251" s="1259"/>
      <c r="G251" s="1259"/>
      <c r="H251" s="1260">
        <f t="shared" si="149"/>
        <v>7200</v>
      </c>
      <c r="I251" s="1252" t="s">
        <v>266</v>
      </c>
      <c r="J251" s="1257" t="s">
        <v>1008</v>
      </c>
      <c r="K251" s="1624">
        <v>15</v>
      </c>
      <c r="L251" s="1257">
        <f>H251/15</f>
        <v>480</v>
      </c>
      <c r="M251" s="1257">
        <f t="shared" si="150"/>
        <v>424.14067332331894</v>
      </c>
      <c r="N251" s="1257">
        <f t="shared" si="151"/>
        <v>7200</v>
      </c>
      <c r="O251" s="1463">
        <f t="shared" si="152"/>
        <v>6362.1100998497841</v>
      </c>
      <c r="P251" s="1488">
        <v>5900</v>
      </c>
      <c r="Q251" s="1489">
        <v>2300</v>
      </c>
      <c r="R251" s="1489"/>
      <c r="S251" s="1489"/>
      <c r="T251" s="1487">
        <f t="shared" si="170"/>
        <v>8200</v>
      </c>
      <c r="U251" s="1490" t="s">
        <v>632</v>
      </c>
      <c r="V251" s="1407">
        <f t="shared" si="181"/>
        <v>8200</v>
      </c>
      <c r="W251" s="1451">
        <f t="shared" si="154"/>
        <v>7245.7365026066982</v>
      </c>
      <c r="X251" s="1407">
        <f t="shared" si="175"/>
        <v>1000</v>
      </c>
      <c r="Y251" s="1408">
        <f t="shared" si="176"/>
        <v>883.6264027569141</v>
      </c>
      <c r="Z251" s="1391" t="s">
        <v>1008</v>
      </c>
      <c r="AA251" s="1624">
        <v>15</v>
      </c>
      <c r="AB251" s="1257">
        <f>V251/15</f>
        <v>546.66666666666663</v>
      </c>
      <c r="AC251" s="1257">
        <f t="shared" si="171"/>
        <v>483.04910017377983</v>
      </c>
      <c r="AD251" s="1257">
        <f t="shared" si="158"/>
        <v>8200</v>
      </c>
      <c r="AE251" s="1257">
        <f t="shared" si="159"/>
        <v>7245.7365026066982</v>
      </c>
    </row>
    <row r="252" spans="1:31" ht="81" x14ac:dyDescent="0.3">
      <c r="A252" s="74"/>
      <c r="B252" s="63"/>
      <c r="C252" s="363" t="s">
        <v>267</v>
      </c>
      <c r="D252" s="1114" t="s">
        <v>568</v>
      </c>
      <c r="E252" s="1258">
        <f>13400</f>
        <v>13400</v>
      </c>
      <c r="F252" s="1259"/>
      <c r="G252" s="1259"/>
      <c r="H252" s="1260">
        <f t="shared" si="149"/>
        <v>13400</v>
      </c>
      <c r="I252" s="1252" t="s">
        <v>268</v>
      </c>
      <c r="J252" s="1257" t="s">
        <v>1008</v>
      </c>
      <c r="K252" s="1624">
        <v>80</v>
      </c>
      <c r="L252" s="1257">
        <f>H252/80</f>
        <v>167.5</v>
      </c>
      <c r="M252" s="1257">
        <f t="shared" si="150"/>
        <v>148.00742246178316</v>
      </c>
      <c r="N252" s="1257">
        <f t="shared" si="151"/>
        <v>13400</v>
      </c>
      <c r="O252" s="1463">
        <f t="shared" si="152"/>
        <v>11840.593796942654</v>
      </c>
      <c r="P252" s="1488">
        <v>33941</v>
      </c>
      <c r="Q252" s="1489">
        <v>46159</v>
      </c>
      <c r="R252" s="1489"/>
      <c r="S252" s="1489"/>
      <c r="T252" s="1487">
        <f t="shared" si="170"/>
        <v>80100</v>
      </c>
      <c r="U252" s="1490" t="s">
        <v>633</v>
      </c>
      <c r="V252" s="1407">
        <f t="shared" si="181"/>
        <v>80100</v>
      </c>
      <c r="W252" s="1451">
        <f t="shared" si="154"/>
        <v>70778.47486082885</v>
      </c>
      <c r="X252" s="1407">
        <f t="shared" si="175"/>
        <v>66700</v>
      </c>
      <c r="Y252" s="1408">
        <f t="shared" si="176"/>
        <v>58937.881063886198</v>
      </c>
      <c r="Z252" s="1391" t="s">
        <v>1008</v>
      </c>
      <c r="AA252" s="1624">
        <v>90</v>
      </c>
      <c r="AB252" s="1257">
        <f>V252/90</f>
        <v>890</v>
      </c>
      <c r="AC252" s="1257">
        <f t="shared" si="171"/>
        <v>786.42749845365381</v>
      </c>
      <c r="AD252" s="1257">
        <f t="shared" si="158"/>
        <v>80100</v>
      </c>
      <c r="AE252" s="1257">
        <f t="shared" si="159"/>
        <v>70778.47486082885</v>
      </c>
    </row>
    <row r="253" spans="1:31" ht="81" x14ac:dyDescent="0.3">
      <c r="A253" s="74"/>
      <c r="B253" s="204"/>
      <c r="C253" s="459" t="s">
        <v>701</v>
      </c>
      <c r="D253" s="1110" t="s">
        <v>702</v>
      </c>
      <c r="E253" s="1258"/>
      <c r="F253" s="1259"/>
      <c r="G253" s="1259"/>
      <c r="H253" s="1260">
        <f t="shared" si="149"/>
        <v>0</v>
      </c>
      <c r="I253" s="1252"/>
      <c r="J253" s="1257"/>
      <c r="K253" s="1624">
        <v>0</v>
      </c>
      <c r="L253" s="1257">
        <f t="shared" si="160"/>
        <v>0</v>
      </c>
      <c r="M253" s="1257">
        <f t="shared" si="150"/>
        <v>0</v>
      </c>
      <c r="N253" s="1257">
        <f t="shared" si="151"/>
        <v>0</v>
      </c>
      <c r="O253" s="1463">
        <f t="shared" si="152"/>
        <v>0</v>
      </c>
      <c r="P253" s="1488"/>
      <c r="Q253" s="1489"/>
      <c r="R253" s="1489"/>
      <c r="S253" s="1489">
        <f>4200</f>
        <v>4200</v>
      </c>
      <c r="T253" s="1487">
        <f t="shared" ref="T253" si="182">SUM(P253:S253)</f>
        <v>4200</v>
      </c>
      <c r="U253" s="1490" t="s">
        <v>726</v>
      </c>
      <c r="V253" s="1407">
        <f t="shared" si="181"/>
        <v>4200</v>
      </c>
      <c r="W253" s="1451">
        <f t="shared" si="154"/>
        <v>3711.2308915790404</v>
      </c>
      <c r="X253" s="1407">
        <f t="shared" si="175"/>
        <v>4200</v>
      </c>
      <c r="Y253" s="1408">
        <f t="shared" si="176"/>
        <v>3711.2308915790404</v>
      </c>
      <c r="Z253" s="1391" t="s">
        <v>1008</v>
      </c>
      <c r="AA253" s="1624">
        <v>60</v>
      </c>
      <c r="AB253" s="1257">
        <f>V253/60</f>
        <v>70</v>
      </c>
      <c r="AC253" s="1257">
        <f t="shared" ref="AC253" si="183">AB253/1.1317</f>
        <v>61.85384819298401</v>
      </c>
      <c r="AD253" s="1257">
        <f t="shared" ref="AD253" si="184">AA253*AB253</f>
        <v>4200</v>
      </c>
      <c r="AE253" s="1257">
        <f t="shared" si="159"/>
        <v>3711.2308915790404</v>
      </c>
    </row>
    <row r="254" spans="1:31" ht="40.5" x14ac:dyDescent="0.3">
      <c r="A254" s="74"/>
      <c r="B254" s="204"/>
      <c r="C254" s="363" t="s">
        <v>536</v>
      </c>
      <c r="D254" s="1114" t="s">
        <v>739</v>
      </c>
      <c r="E254" s="1258"/>
      <c r="F254" s="1259"/>
      <c r="G254" s="1259"/>
      <c r="H254" s="1260">
        <f t="shared" si="149"/>
        <v>0</v>
      </c>
      <c r="I254" s="1252"/>
      <c r="J254" s="1257"/>
      <c r="K254" s="1624">
        <v>0</v>
      </c>
      <c r="L254" s="1257">
        <f t="shared" si="160"/>
        <v>0</v>
      </c>
      <c r="M254" s="1257">
        <f t="shared" si="150"/>
        <v>0</v>
      </c>
      <c r="N254" s="1257">
        <f t="shared" si="151"/>
        <v>0</v>
      </c>
      <c r="O254" s="1463">
        <f t="shared" si="152"/>
        <v>0</v>
      </c>
      <c r="P254" s="1488">
        <v>950</v>
      </c>
      <c r="Q254" s="1489"/>
      <c r="R254" s="1489"/>
      <c r="S254" s="1489"/>
      <c r="T254" s="1487">
        <f t="shared" si="170"/>
        <v>950</v>
      </c>
      <c r="U254" s="1490" t="s">
        <v>538</v>
      </c>
      <c r="V254" s="1407">
        <f t="shared" si="181"/>
        <v>950</v>
      </c>
      <c r="W254" s="1451">
        <f t="shared" si="154"/>
        <v>839.44508261906867</v>
      </c>
      <c r="X254" s="1407">
        <f t="shared" si="175"/>
        <v>950</v>
      </c>
      <c r="Y254" s="1408">
        <f t="shared" si="176"/>
        <v>839.44508261906867</v>
      </c>
      <c r="Z254" s="1391" t="s">
        <v>1001</v>
      </c>
      <c r="AA254" s="1624">
        <v>2</v>
      </c>
      <c r="AB254" s="1257">
        <f>V254/2</f>
        <v>475</v>
      </c>
      <c r="AC254" s="1257">
        <f t="shared" si="171"/>
        <v>419.72254130953434</v>
      </c>
      <c r="AD254" s="1257">
        <f t="shared" si="158"/>
        <v>950</v>
      </c>
      <c r="AE254" s="1257">
        <f t="shared" si="159"/>
        <v>839.44508261906867</v>
      </c>
    </row>
    <row r="255" spans="1:31" ht="33" customHeight="1" thickBot="1" x14ac:dyDescent="0.35">
      <c r="A255" s="74"/>
      <c r="B255" s="68"/>
      <c r="C255" s="1004"/>
      <c r="D255" s="1005"/>
      <c r="E255" s="1276"/>
      <c r="F255" s="1277"/>
      <c r="G255" s="1277"/>
      <c r="H255" s="1278"/>
      <c r="I255" s="1252"/>
      <c r="J255" s="1265"/>
      <c r="K255" s="1625"/>
      <c r="L255" s="1265"/>
      <c r="M255" s="1265"/>
      <c r="N255" s="1265"/>
      <c r="O255" s="1464"/>
      <c r="P255" s="1543"/>
      <c r="Q255" s="1544"/>
      <c r="R255" s="1544"/>
      <c r="S255" s="1544"/>
      <c r="T255" s="1544"/>
      <c r="U255" s="1545"/>
      <c r="V255" s="1409"/>
      <c r="W255" s="1410"/>
      <c r="X255" s="1409"/>
      <c r="Y255" s="1410"/>
      <c r="Z255" s="1392"/>
      <c r="AA255" s="1625"/>
      <c r="AB255" s="1265"/>
      <c r="AC255" s="1265"/>
      <c r="AD255" s="1265"/>
      <c r="AE255" s="1265"/>
    </row>
    <row r="256" spans="1:31" ht="30.75" customHeight="1" thickBot="1" x14ac:dyDescent="0.35">
      <c r="A256" s="77"/>
      <c r="B256" s="158" t="s">
        <v>45</v>
      </c>
      <c r="C256" s="746"/>
      <c r="D256" s="1115"/>
      <c r="E256" s="1173">
        <f>SUM(E204:E254)</f>
        <v>514757</v>
      </c>
      <c r="F256" s="1174">
        <f t="shared" ref="F256:H256" si="185">SUM(F204:F254)</f>
        <v>276472.5</v>
      </c>
      <c r="G256" s="1174">
        <f t="shared" si="185"/>
        <v>35672.5</v>
      </c>
      <c r="H256" s="1175">
        <f t="shared" si="185"/>
        <v>826902</v>
      </c>
      <c r="I256" s="747"/>
      <c r="J256" s="747"/>
      <c r="K256" s="1654"/>
      <c r="L256" s="747"/>
      <c r="M256" s="747"/>
      <c r="N256" s="747">
        <f t="shared" ref="N256" si="186">SUM(N204:N254)</f>
        <v>826902</v>
      </c>
      <c r="O256" s="1378">
        <f>SUM(O204:O254)-0.44</f>
        <v>730671.99969249789</v>
      </c>
      <c r="P256" s="1432">
        <f>SUM(P204:P255)</f>
        <v>594396.69999999995</v>
      </c>
      <c r="Q256" s="1532">
        <f t="shared" ref="Q256:T256" si="187">SUM(Q204:Q255)</f>
        <v>277205.2</v>
      </c>
      <c r="R256" s="1532">
        <f t="shared" si="187"/>
        <v>193374.41</v>
      </c>
      <c r="S256" s="1532">
        <f t="shared" si="187"/>
        <v>146934.70000000001</v>
      </c>
      <c r="T256" s="1532">
        <f t="shared" si="187"/>
        <v>1211911.01</v>
      </c>
      <c r="U256" s="1433"/>
      <c r="V256" s="1432">
        <f t="shared" ref="V256:AE256" si="188">SUM(V204:V255)</f>
        <v>1211911.01</v>
      </c>
      <c r="W256" s="1433">
        <f t="shared" si="188"/>
        <v>1070876.5662277988</v>
      </c>
      <c r="X256" s="1432">
        <f t="shared" si="188"/>
        <v>385009.01</v>
      </c>
      <c r="Y256" s="1433">
        <f t="shared" si="188"/>
        <v>340204.12653530098</v>
      </c>
      <c r="Z256" s="1397"/>
      <c r="AA256" s="1654"/>
      <c r="AB256" s="747">
        <f t="shared" si="188"/>
        <v>137933.21892307693</v>
      </c>
      <c r="AC256" s="747">
        <f t="shared" si="188"/>
        <v>121881.43405768042</v>
      </c>
      <c r="AD256" s="747">
        <f t="shared" si="188"/>
        <v>1211911.01</v>
      </c>
      <c r="AE256" s="747">
        <f t="shared" si="188"/>
        <v>1070876.5662277988</v>
      </c>
    </row>
    <row r="257" spans="1:31" ht="30.75" customHeight="1" thickBot="1" x14ac:dyDescent="0.35">
      <c r="A257" s="77"/>
      <c r="B257" s="1329"/>
      <c r="C257" s="1331"/>
      <c r="D257" s="1323" t="s">
        <v>1033</v>
      </c>
      <c r="E257" s="1332"/>
      <c r="F257" s="1333"/>
      <c r="G257" s="1333"/>
      <c r="H257" s="1334"/>
      <c r="I257" s="1335"/>
      <c r="J257" s="1336"/>
      <c r="K257" s="1655"/>
      <c r="L257" s="1336"/>
      <c r="M257" s="1336"/>
      <c r="N257" s="1336">
        <f>N201+N256</f>
        <v>1602812.2</v>
      </c>
      <c r="O257" s="1336">
        <f>O201+O256</f>
        <v>1416286.9985808958</v>
      </c>
      <c r="P257" s="1434"/>
      <c r="Q257" s="1546"/>
      <c r="R257" s="1546"/>
      <c r="S257" s="1546"/>
      <c r="T257" s="1546">
        <f>T201+T256</f>
        <v>2190137.6800000002</v>
      </c>
      <c r="U257" s="1455"/>
      <c r="V257" s="1434">
        <f>V201+V256</f>
        <v>2190137.6800000002</v>
      </c>
      <c r="W257" s="1455">
        <f>W201+W256</f>
        <v>1935263.4797207741</v>
      </c>
      <c r="X257" s="1434">
        <f>X201+X256</f>
        <v>587325.48</v>
      </c>
      <c r="Y257" s="1435">
        <f>Y201+Y256</f>
        <v>518976.30113987817</v>
      </c>
      <c r="Z257" s="1336"/>
      <c r="AA257" s="1655"/>
      <c r="AB257" s="1336"/>
      <c r="AC257" s="1336"/>
      <c r="AD257" s="1336">
        <f>AD201+AD256</f>
        <v>2190137.6800000002</v>
      </c>
      <c r="AE257" s="1330">
        <f>AE201+AE256</f>
        <v>1935263.4797207741</v>
      </c>
    </row>
    <row r="258" spans="1:31" ht="37.5" customHeight="1" x14ac:dyDescent="0.3">
      <c r="A258" s="77"/>
      <c r="B258" s="160"/>
      <c r="C258" s="745"/>
      <c r="D258" s="1129"/>
      <c r="E258" s="1279"/>
      <c r="F258" s="1280"/>
      <c r="G258" s="1280"/>
      <c r="H258" s="1281"/>
      <c r="I258" s="1282"/>
      <c r="J258" s="1282"/>
      <c r="K258" s="1656"/>
      <c r="L258" s="1282"/>
      <c r="M258" s="1282"/>
      <c r="N258" s="1282"/>
      <c r="O258" s="1479"/>
      <c r="P258" s="1436"/>
      <c r="Q258" s="1283"/>
      <c r="R258" s="1283"/>
      <c r="S258" s="1283"/>
      <c r="T258" s="1283"/>
      <c r="U258" s="1284"/>
      <c r="V258" s="1436"/>
      <c r="W258" s="1284"/>
      <c r="X258" s="1436"/>
      <c r="Y258" s="1284"/>
      <c r="Z258" s="1398"/>
      <c r="AA258" s="1656"/>
      <c r="AB258" s="1282"/>
      <c r="AC258" s="1282"/>
      <c r="AD258" s="1282"/>
      <c r="AE258" s="1282"/>
    </row>
    <row r="259" spans="1:31" ht="35.25" customHeight="1" x14ac:dyDescent="0.3">
      <c r="A259" s="77"/>
      <c r="B259" s="161" t="s">
        <v>269</v>
      </c>
      <c r="C259" s="78"/>
      <c r="D259" s="78"/>
      <c r="E259" s="1266"/>
      <c r="F259" s="1267"/>
      <c r="G259" s="1267"/>
      <c r="H259" s="1268"/>
      <c r="I259" s="1257"/>
      <c r="J259" s="1257"/>
      <c r="K259" s="1624"/>
      <c r="L259" s="1257"/>
      <c r="M259" s="1257"/>
      <c r="N259" s="1257"/>
      <c r="O259" s="1463"/>
      <c r="P259" s="1407"/>
      <c r="Q259" s="1547"/>
      <c r="R259" s="1547"/>
      <c r="S259" s="1547"/>
      <c r="T259" s="1547"/>
      <c r="U259" s="1451"/>
      <c r="V259" s="1407"/>
      <c r="W259" s="1451"/>
      <c r="X259" s="1407"/>
      <c r="Y259" s="1408"/>
      <c r="Z259" s="1391"/>
      <c r="AA259" s="1624"/>
      <c r="AB259" s="1257"/>
      <c r="AC259" s="1257"/>
      <c r="AD259" s="1257"/>
      <c r="AE259" s="1257"/>
    </row>
    <row r="260" spans="1:31" ht="3.75" customHeight="1" x14ac:dyDescent="0.3">
      <c r="A260" s="74"/>
      <c r="B260" s="144"/>
      <c r="C260" s="137"/>
      <c r="D260" s="1130"/>
      <c r="E260" s="1285"/>
      <c r="F260" s="1286"/>
      <c r="G260" s="1286"/>
      <c r="H260" s="1287"/>
      <c r="I260" s="1257"/>
      <c r="J260" s="1257"/>
      <c r="K260" s="1624"/>
      <c r="L260" s="1257"/>
      <c r="M260" s="1257"/>
      <c r="N260" s="1257"/>
      <c r="O260" s="1463"/>
      <c r="P260" s="1405"/>
      <c r="Q260" s="1487"/>
      <c r="R260" s="1487"/>
      <c r="S260" s="1487"/>
      <c r="T260" s="1487"/>
      <c r="U260" s="1450"/>
      <c r="V260" s="1405"/>
      <c r="W260" s="1451"/>
      <c r="X260" s="1405"/>
      <c r="Y260" s="1406"/>
      <c r="Z260" s="1391"/>
      <c r="AA260" s="1624"/>
      <c r="AB260" s="1257"/>
      <c r="AC260" s="1257"/>
      <c r="AD260" s="1257"/>
      <c r="AE260" s="1257"/>
    </row>
    <row r="261" spans="1:31" ht="53.25" customHeight="1" x14ac:dyDescent="0.3">
      <c r="A261" s="76">
        <v>5.0999999999999996</v>
      </c>
      <c r="B261" s="2747" t="s">
        <v>270</v>
      </c>
      <c r="C261" s="2748"/>
      <c r="D261" s="2749"/>
      <c r="E261" s="1254"/>
      <c r="F261" s="1255"/>
      <c r="G261" s="1255"/>
      <c r="H261" s="1256"/>
      <c r="I261" s="1257"/>
      <c r="J261" s="1257"/>
      <c r="K261" s="1624"/>
      <c r="L261" s="1257"/>
      <c r="M261" s="1257"/>
      <c r="N261" s="1257"/>
      <c r="O261" s="1463"/>
      <c r="P261" s="1405"/>
      <c r="Q261" s="1487"/>
      <c r="R261" s="1487"/>
      <c r="S261" s="1487"/>
      <c r="T261" s="1487"/>
      <c r="U261" s="1450"/>
      <c r="V261" s="1405"/>
      <c r="W261" s="1451"/>
      <c r="X261" s="1405"/>
      <c r="Y261" s="1406"/>
      <c r="Z261" s="1391"/>
      <c r="AA261" s="1624"/>
      <c r="AB261" s="1257"/>
      <c r="AC261" s="1257"/>
      <c r="AD261" s="1257"/>
      <c r="AE261" s="1257"/>
    </row>
    <row r="262" spans="1:31" ht="60.75" x14ac:dyDescent="0.3">
      <c r="A262" s="74"/>
      <c r="B262" s="63"/>
      <c r="C262" s="277" t="s">
        <v>271</v>
      </c>
      <c r="D262" s="1131" t="s">
        <v>634</v>
      </c>
      <c r="E262" s="1274">
        <f>17070</f>
        <v>17070</v>
      </c>
      <c r="F262" s="1275">
        <f>58610</f>
        <v>58610</v>
      </c>
      <c r="G262" s="1275"/>
      <c r="H262" s="1260">
        <f t="shared" ref="H262:H267" si="189">SUM(E262:G262)</f>
        <v>75680</v>
      </c>
      <c r="I262" s="1252" t="s">
        <v>272</v>
      </c>
      <c r="J262" s="1257" t="s">
        <v>993</v>
      </c>
      <c r="K262" s="1624">
        <v>200</v>
      </c>
      <c r="L262" s="1257">
        <f>H262/200</f>
        <v>378.4</v>
      </c>
      <c r="M262" s="1257">
        <f>L262/1.1317</f>
        <v>334.3642308032164</v>
      </c>
      <c r="N262" s="1257">
        <f>K262*L262</f>
        <v>75680</v>
      </c>
      <c r="O262" s="1463">
        <f t="shared" ref="O262:O267" si="190">N262/1.1317</f>
        <v>66872.846160643283</v>
      </c>
      <c r="P262" s="1488"/>
      <c r="Q262" s="1489">
        <f>18700</f>
        <v>18700</v>
      </c>
      <c r="R262" s="1489"/>
      <c r="S262" s="1489"/>
      <c r="T262" s="1487">
        <f t="shared" ref="T262:T267" si="191">SUM(P262:S262)</f>
        <v>18700</v>
      </c>
      <c r="U262" s="1490" t="s">
        <v>635</v>
      </c>
      <c r="V262" s="1407">
        <f t="shared" ref="V262:V267" si="192">P262+Q262+R262+S262</f>
        <v>18700</v>
      </c>
      <c r="W262" s="1451">
        <f t="shared" ref="W262:W267" si="193">V262/1.1317</f>
        <v>16523.813731554299</v>
      </c>
      <c r="X262" s="1407">
        <f t="shared" ref="X262:Y267" si="194">V262-N262</f>
        <v>-56980</v>
      </c>
      <c r="Y262" s="1408">
        <f t="shared" si="194"/>
        <v>-50349.032429088984</v>
      </c>
      <c r="Z262" s="1391" t="s">
        <v>993</v>
      </c>
      <c r="AA262" s="1624">
        <v>45</v>
      </c>
      <c r="AB262" s="1257">
        <f>V262/45</f>
        <v>415.55555555555554</v>
      </c>
      <c r="AC262" s="1257">
        <f>AB262/1.1317</f>
        <v>367.19586070120664</v>
      </c>
      <c r="AD262" s="1257">
        <f>AA262*AB262</f>
        <v>18700</v>
      </c>
      <c r="AE262" s="1257">
        <f t="shared" ref="AE262:AE267" si="195">AD262/1.1317</f>
        <v>16523.813731554299</v>
      </c>
    </row>
    <row r="263" spans="1:31" ht="121.5" x14ac:dyDescent="0.3">
      <c r="A263" s="74"/>
      <c r="B263" s="63"/>
      <c r="C263" s="277" t="s">
        <v>273</v>
      </c>
      <c r="D263" s="1131" t="s">
        <v>738</v>
      </c>
      <c r="E263" s="1274">
        <f>21000</f>
        <v>21000</v>
      </c>
      <c r="F263" s="1275">
        <f>28400</f>
        <v>28400</v>
      </c>
      <c r="G263" s="1275"/>
      <c r="H263" s="1260">
        <f t="shared" si="189"/>
        <v>49400</v>
      </c>
      <c r="I263" s="1252" t="s">
        <v>338</v>
      </c>
      <c r="J263" s="1257" t="s">
        <v>1022</v>
      </c>
      <c r="K263" s="1624">
        <v>120</v>
      </c>
      <c r="L263" s="1257">
        <f>H263/120</f>
        <v>411.66666666666669</v>
      </c>
      <c r="M263" s="1257">
        <f>L263/1.1317</f>
        <v>363.75953580159648</v>
      </c>
      <c r="N263" s="1257">
        <f>K263*L263</f>
        <v>49400</v>
      </c>
      <c r="O263" s="1463">
        <f t="shared" si="190"/>
        <v>43651.144296191575</v>
      </c>
      <c r="P263" s="1488">
        <v>29000</v>
      </c>
      <c r="Q263" s="1489">
        <v>0</v>
      </c>
      <c r="R263" s="1489">
        <v>0</v>
      </c>
      <c r="S263" s="1489"/>
      <c r="T263" s="1487">
        <f t="shared" si="191"/>
        <v>29000</v>
      </c>
      <c r="U263" s="1490" t="s">
        <v>636</v>
      </c>
      <c r="V263" s="1407">
        <f t="shared" si="192"/>
        <v>29000</v>
      </c>
      <c r="W263" s="1451">
        <f t="shared" si="193"/>
        <v>25625.165679950518</v>
      </c>
      <c r="X263" s="1407">
        <f t="shared" si="194"/>
        <v>-20400</v>
      </c>
      <c r="Y263" s="1408">
        <f t="shared" si="194"/>
        <v>-18025.978616241056</v>
      </c>
      <c r="Z263" s="1391" t="s">
        <v>1022</v>
      </c>
      <c r="AA263" s="1624">
        <v>110</v>
      </c>
      <c r="AB263" s="1257">
        <f>V263/110</f>
        <v>263.63636363636363</v>
      </c>
      <c r="AC263" s="1257">
        <f>AB263/1.1317</f>
        <v>232.95605163591381</v>
      </c>
      <c r="AD263" s="1257">
        <f>AA263*AB263</f>
        <v>29000</v>
      </c>
      <c r="AE263" s="1257">
        <f t="shared" si="195"/>
        <v>25625.165679950518</v>
      </c>
    </row>
    <row r="264" spans="1:31" ht="60.75" x14ac:dyDescent="0.3">
      <c r="A264" s="74"/>
      <c r="B264" s="162"/>
      <c r="C264" s="373" t="s">
        <v>275</v>
      </c>
      <c r="D264" s="1132" t="s">
        <v>719</v>
      </c>
      <c r="E264" s="1274">
        <f>8000</f>
        <v>8000</v>
      </c>
      <c r="F264" s="1275"/>
      <c r="G264" s="1275"/>
      <c r="H264" s="1260">
        <f t="shared" si="189"/>
        <v>8000</v>
      </c>
      <c r="I264" s="1288" t="s">
        <v>276</v>
      </c>
      <c r="J264" s="1257" t="s">
        <v>997</v>
      </c>
      <c r="K264" s="1624">
        <v>500</v>
      </c>
      <c r="L264" s="1257">
        <f>H264/500</f>
        <v>16</v>
      </c>
      <c r="M264" s="1257">
        <f>L264/1.1317</f>
        <v>14.13802244411063</v>
      </c>
      <c r="N264" s="1257">
        <f>K264*L264</f>
        <v>8000</v>
      </c>
      <c r="O264" s="1463">
        <f t="shared" si="190"/>
        <v>7069.0112220553156</v>
      </c>
      <c r="P264" s="1488"/>
      <c r="Q264" s="1489"/>
      <c r="R264" s="1489">
        <f>9600</f>
        <v>9600</v>
      </c>
      <c r="S264" s="1489"/>
      <c r="T264" s="1487">
        <f t="shared" si="191"/>
        <v>9600</v>
      </c>
      <c r="U264" s="1490" t="s">
        <v>784</v>
      </c>
      <c r="V264" s="1407">
        <f t="shared" si="192"/>
        <v>9600</v>
      </c>
      <c r="W264" s="1451">
        <f t="shared" si="193"/>
        <v>8482.8134664663794</v>
      </c>
      <c r="X264" s="1407">
        <f t="shared" si="194"/>
        <v>1600</v>
      </c>
      <c r="Y264" s="1408">
        <f t="shared" si="194"/>
        <v>1413.8022444110638</v>
      </c>
      <c r="Z264" s="1391" t="s">
        <v>997</v>
      </c>
      <c r="AA264" s="1624">
        <v>400</v>
      </c>
      <c r="AB264" s="1257">
        <f>V264/400</f>
        <v>24</v>
      </c>
      <c r="AC264" s="1257">
        <f>AB264/1.1317</f>
        <v>21.207033666165945</v>
      </c>
      <c r="AD264" s="1257">
        <f>AA264*AB264</f>
        <v>9600</v>
      </c>
      <c r="AE264" s="1257">
        <f t="shared" si="195"/>
        <v>8482.8134664663794</v>
      </c>
    </row>
    <row r="265" spans="1:31" ht="60.75" x14ac:dyDescent="0.3">
      <c r="A265" s="74"/>
      <c r="B265" s="372"/>
      <c r="C265" s="472" t="s">
        <v>703</v>
      </c>
      <c r="D265" s="1111" t="s">
        <v>720</v>
      </c>
      <c r="E265" s="1274"/>
      <c r="F265" s="1275"/>
      <c r="G265" s="1275"/>
      <c r="H265" s="1260">
        <f t="shared" si="189"/>
        <v>0</v>
      </c>
      <c r="I265" s="1288"/>
      <c r="J265" s="1257"/>
      <c r="K265" s="1624">
        <v>0</v>
      </c>
      <c r="L265" s="1257">
        <f t="shared" ref="L265:L267" si="196">H265/80</f>
        <v>0</v>
      </c>
      <c r="M265" s="1257">
        <f t="shared" ref="M265:M267" si="197">L265/1.1317</f>
        <v>0</v>
      </c>
      <c r="N265" s="1257">
        <f t="shared" ref="N265:N267" si="198">K265*L265</f>
        <v>0</v>
      </c>
      <c r="O265" s="1463">
        <f t="shared" si="190"/>
        <v>0</v>
      </c>
      <c r="P265" s="1488"/>
      <c r="Q265" s="1524"/>
      <c r="R265" s="1489"/>
      <c r="S265" s="1489">
        <f>6000</f>
        <v>6000</v>
      </c>
      <c r="T265" s="1527">
        <f t="shared" ref="T265" si="199">SUM(P265:S265)</f>
        <v>6000</v>
      </c>
      <c r="U265" s="1490" t="s">
        <v>725</v>
      </c>
      <c r="V265" s="1407">
        <f t="shared" si="192"/>
        <v>6000</v>
      </c>
      <c r="W265" s="1451">
        <f t="shared" si="193"/>
        <v>5301.7584165414864</v>
      </c>
      <c r="X265" s="1407">
        <f t="shared" si="194"/>
        <v>6000</v>
      </c>
      <c r="Y265" s="1408">
        <f t="shared" si="194"/>
        <v>5301.7584165414864</v>
      </c>
      <c r="Z265" s="1391" t="s">
        <v>1007</v>
      </c>
      <c r="AA265" s="1624">
        <v>200</v>
      </c>
      <c r="AB265" s="1257">
        <f>V265/200</f>
        <v>30</v>
      </c>
      <c r="AC265" s="1257">
        <f t="shared" ref="AC265:AC267" si="200">AB265/1.1317</f>
        <v>26.508792082707433</v>
      </c>
      <c r="AD265" s="1257">
        <f t="shared" ref="AD265:AD267" si="201">AA265*AB265</f>
        <v>6000</v>
      </c>
      <c r="AE265" s="1257">
        <f t="shared" si="195"/>
        <v>5301.7584165414864</v>
      </c>
    </row>
    <row r="266" spans="1:31" ht="81" x14ac:dyDescent="0.3">
      <c r="A266" s="74"/>
      <c r="B266" s="372"/>
      <c r="C266" s="472" t="s">
        <v>704</v>
      </c>
      <c r="D266" s="1111" t="s">
        <v>705</v>
      </c>
      <c r="E266" s="1274"/>
      <c r="F266" s="1275"/>
      <c r="G266" s="1275"/>
      <c r="H266" s="1260">
        <f t="shared" si="189"/>
        <v>0</v>
      </c>
      <c r="I266" s="1288"/>
      <c r="J266" s="1257"/>
      <c r="K266" s="1624">
        <v>0</v>
      </c>
      <c r="L266" s="1257">
        <f t="shared" si="196"/>
        <v>0</v>
      </c>
      <c r="M266" s="1257">
        <f t="shared" si="197"/>
        <v>0</v>
      </c>
      <c r="N266" s="1257">
        <f t="shared" si="198"/>
        <v>0</v>
      </c>
      <c r="O266" s="1463">
        <f t="shared" si="190"/>
        <v>0</v>
      </c>
      <c r="P266" s="1488"/>
      <c r="Q266" s="1524"/>
      <c r="R266" s="1489"/>
      <c r="S266" s="1489">
        <f>12600+1400</f>
        <v>14000</v>
      </c>
      <c r="T266" s="1527">
        <f t="shared" ref="T266" si="202">SUM(P266:S266)</f>
        <v>14000</v>
      </c>
      <c r="U266" s="1490" t="s">
        <v>877</v>
      </c>
      <c r="V266" s="1407">
        <f t="shared" si="192"/>
        <v>14000</v>
      </c>
      <c r="W266" s="1451">
        <f t="shared" si="193"/>
        <v>12370.769638596803</v>
      </c>
      <c r="X266" s="1407">
        <f t="shared" si="194"/>
        <v>14000</v>
      </c>
      <c r="Y266" s="1408">
        <f t="shared" si="194"/>
        <v>12370.769638596803</v>
      </c>
      <c r="Z266" s="1391" t="s">
        <v>1007</v>
      </c>
      <c r="AA266" s="1624">
        <v>320</v>
      </c>
      <c r="AB266" s="1257">
        <f>V266/320</f>
        <v>43.75</v>
      </c>
      <c r="AC266" s="1257">
        <f t="shared" si="200"/>
        <v>38.658655120615009</v>
      </c>
      <c r="AD266" s="1257">
        <f t="shared" si="201"/>
        <v>14000</v>
      </c>
      <c r="AE266" s="1257">
        <f t="shared" si="195"/>
        <v>12370.769638596803</v>
      </c>
    </row>
    <row r="267" spans="1:31" ht="101.25" x14ac:dyDescent="0.3">
      <c r="A267" s="74"/>
      <c r="B267" s="162"/>
      <c r="C267" s="373" t="s">
        <v>569</v>
      </c>
      <c r="D267" s="1133" t="s">
        <v>737</v>
      </c>
      <c r="E267" s="1274"/>
      <c r="F267" s="1275"/>
      <c r="G267" s="1275"/>
      <c r="H267" s="1260">
        <f t="shared" si="189"/>
        <v>0</v>
      </c>
      <c r="I267" s="1288"/>
      <c r="J267" s="1257"/>
      <c r="K267" s="1624">
        <v>0</v>
      </c>
      <c r="L267" s="1257">
        <f t="shared" si="196"/>
        <v>0</v>
      </c>
      <c r="M267" s="1257">
        <f t="shared" si="197"/>
        <v>0</v>
      </c>
      <c r="N267" s="1257">
        <f t="shared" si="198"/>
        <v>0</v>
      </c>
      <c r="O267" s="1463">
        <f t="shared" si="190"/>
        <v>0</v>
      </c>
      <c r="P267" s="1488">
        <f>21500</f>
        <v>21500</v>
      </c>
      <c r="Q267" s="1489"/>
      <c r="R267" s="1489"/>
      <c r="S267" s="1489"/>
      <c r="T267" s="1487">
        <f t="shared" si="191"/>
        <v>21500</v>
      </c>
      <c r="U267" s="1490" t="s">
        <v>637</v>
      </c>
      <c r="V267" s="1407">
        <f t="shared" si="192"/>
        <v>21500</v>
      </c>
      <c r="W267" s="1451">
        <f t="shared" si="193"/>
        <v>18997.967659273661</v>
      </c>
      <c r="X267" s="1407">
        <f t="shared" si="194"/>
        <v>21500</v>
      </c>
      <c r="Y267" s="1408">
        <f t="shared" si="194"/>
        <v>18997.967659273661</v>
      </c>
      <c r="Z267" s="1391" t="s">
        <v>1036</v>
      </c>
      <c r="AA267" s="1624">
        <v>50</v>
      </c>
      <c r="AB267" s="1257">
        <f>V267/50</f>
        <v>430</v>
      </c>
      <c r="AC267" s="1257">
        <f t="shared" si="200"/>
        <v>379.95935318547322</v>
      </c>
      <c r="AD267" s="1257">
        <f t="shared" si="201"/>
        <v>21500</v>
      </c>
      <c r="AE267" s="1257">
        <f t="shared" si="195"/>
        <v>18997.967659273661</v>
      </c>
    </row>
    <row r="268" spans="1:31" ht="21" thickBot="1" x14ac:dyDescent="0.35">
      <c r="A268" s="74"/>
      <c r="B268" s="2428"/>
      <c r="C268" s="2122"/>
      <c r="D268" s="2123"/>
      <c r="E268" s="2429"/>
      <c r="F268" s="2430"/>
      <c r="G268" s="2430"/>
      <c r="H268" s="2431"/>
      <c r="I268" s="1288"/>
      <c r="J268" s="2330"/>
      <c r="K268" s="2331"/>
      <c r="L268" s="2330"/>
      <c r="M268" s="2330"/>
      <c r="N268" s="2330"/>
      <c r="O268" s="2332"/>
      <c r="P268" s="2333"/>
      <c r="Q268" s="2334"/>
      <c r="R268" s="2334"/>
      <c r="S268" s="2334"/>
      <c r="T268" s="2334"/>
      <c r="U268" s="2335"/>
      <c r="V268" s="2336"/>
      <c r="W268" s="2337"/>
      <c r="X268" s="2336"/>
      <c r="Y268" s="2337"/>
      <c r="Z268" s="2338"/>
      <c r="AA268" s="2331"/>
      <c r="AB268" s="2330"/>
      <c r="AC268" s="2330"/>
      <c r="AD268" s="2330"/>
      <c r="AE268" s="2330"/>
    </row>
    <row r="269" spans="1:31" ht="33.75" customHeight="1" thickBot="1" x14ac:dyDescent="0.35">
      <c r="A269" s="75"/>
      <c r="B269" s="2445" t="s">
        <v>45</v>
      </c>
      <c r="C269" s="2446"/>
      <c r="D269" s="2447"/>
      <c r="E269" s="2448">
        <f>SUM(E262:E267)</f>
        <v>46070</v>
      </c>
      <c r="F269" s="2449">
        <f t="shared" ref="F269:H269" si="203">SUM(F262:F267)</f>
        <v>87010</v>
      </c>
      <c r="G269" s="2449">
        <f t="shared" si="203"/>
        <v>0</v>
      </c>
      <c r="H269" s="2450">
        <f t="shared" si="203"/>
        <v>133080</v>
      </c>
      <c r="I269" s="2451"/>
      <c r="J269" s="2451"/>
      <c r="K269" s="2452"/>
      <c r="L269" s="2451"/>
      <c r="M269" s="2451"/>
      <c r="N269" s="2451">
        <f t="shared" ref="N269:O269" si="204">SUM(N262:N268)</f>
        <v>133080</v>
      </c>
      <c r="O269" s="2453">
        <f t="shared" si="204"/>
        <v>117593.00167889017</v>
      </c>
      <c r="P269" s="2454">
        <f>SUM(P262:P268)</f>
        <v>50500</v>
      </c>
      <c r="Q269" s="2455">
        <f t="shared" ref="Q269:T269" si="205">SUM(Q262:Q268)</f>
        <v>18700</v>
      </c>
      <c r="R269" s="2455">
        <f t="shared" si="205"/>
        <v>9600</v>
      </c>
      <c r="S269" s="2455">
        <f t="shared" si="205"/>
        <v>20000</v>
      </c>
      <c r="T269" s="2455">
        <f t="shared" si="205"/>
        <v>98800</v>
      </c>
      <c r="U269" s="2456"/>
      <c r="V269" s="2454">
        <f t="shared" ref="V269" si="206">SUM(V262:V268)</f>
        <v>98800</v>
      </c>
      <c r="W269" s="2456">
        <f t="shared" ref="W269" si="207">SUM(W262:W268)</f>
        <v>87302.288592383149</v>
      </c>
      <c r="X269" s="2454">
        <f t="shared" ref="X269:Y269" si="208">SUM(X262:X268)</f>
        <v>-34280</v>
      </c>
      <c r="Y269" s="2456">
        <f t="shared" si="208"/>
        <v>-30290.713086507025</v>
      </c>
      <c r="Z269" s="2457"/>
      <c r="AA269" s="2452"/>
      <c r="AB269" s="2451"/>
      <c r="AC269" s="2451"/>
      <c r="AD269" s="2451">
        <f t="shared" ref="AD269" si="209">SUM(AD262:AD268)</f>
        <v>98800</v>
      </c>
      <c r="AE269" s="2451">
        <f t="shared" ref="AE269" si="210">SUM(AE262:AE268)</f>
        <v>87302.288592383149</v>
      </c>
    </row>
    <row r="270" spans="1:31" ht="9.75" customHeight="1" thickBot="1" x14ac:dyDescent="0.35">
      <c r="A270" s="75"/>
      <c r="B270" s="2432" t="s">
        <v>155</v>
      </c>
      <c r="C270" s="2131"/>
      <c r="D270" s="2132"/>
      <c r="E270" s="2433"/>
      <c r="F270" s="2434"/>
      <c r="G270" s="2434"/>
      <c r="H270" s="2435"/>
      <c r="I270" s="2436"/>
      <c r="J270" s="2437"/>
      <c r="K270" s="2438"/>
      <c r="L270" s="2437"/>
      <c r="M270" s="2437"/>
      <c r="N270" s="2437"/>
      <c r="O270" s="2439"/>
      <c r="P270" s="2440"/>
      <c r="Q270" s="2441"/>
      <c r="R270" s="2441"/>
      <c r="S270" s="2441"/>
      <c r="T270" s="2441"/>
      <c r="U270" s="2442"/>
      <c r="V270" s="2440"/>
      <c r="W270" s="2443"/>
      <c r="X270" s="2440"/>
      <c r="Y270" s="2442"/>
      <c r="Z270" s="2444"/>
      <c r="AA270" s="2438"/>
      <c r="AB270" s="2437"/>
      <c r="AC270" s="2437"/>
      <c r="AD270" s="2437"/>
      <c r="AE270" s="2437"/>
    </row>
    <row r="271" spans="1:31" ht="20.25" x14ac:dyDescent="0.3">
      <c r="A271" s="74"/>
      <c r="B271" s="2644" t="s">
        <v>277</v>
      </c>
      <c r="C271" s="2680"/>
      <c r="D271" s="2680"/>
      <c r="E271" s="1254"/>
      <c r="F271" s="1255"/>
      <c r="G271" s="1255"/>
      <c r="H271" s="1256"/>
      <c r="I271" s="1257"/>
      <c r="J271" s="1257"/>
      <c r="K271" s="1624"/>
      <c r="L271" s="1257"/>
      <c r="M271" s="1257"/>
      <c r="N271" s="1257"/>
      <c r="O271" s="1463"/>
      <c r="P271" s="1437"/>
      <c r="Q271" s="1548"/>
      <c r="R271" s="1548"/>
      <c r="S271" s="1548"/>
      <c r="T271" s="1548"/>
      <c r="U271" s="1549"/>
      <c r="V271" s="1437"/>
      <c r="W271" s="1451"/>
      <c r="X271" s="1437"/>
      <c r="Y271" s="1438"/>
      <c r="Z271" s="1391"/>
      <c r="AA271" s="1624"/>
      <c r="AB271" s="1257"/>
      <c r="AC271" s="1257"/>
      <c r="AD271" s="1257"/>
      <c r="AE271" s="1257"/>
    </row>
    <row r="272" spans="1:31" ht="101.25" x14ac:dyDescent="0.3">
      <c r="A272" s="74"/>
      <c r="B272" s="170"/>
      <c r="C272" s="355" t="s">
        <v>278</v>
      </c>
      <c r="D272" s="1134" t="s">
        <v>279</v>
      </c>
      <c r="E272" s="1274">
        <f>15600</f>
        <v>15600</v>
      </c>
      <c r="F272" s="1275"/>
      <c r="G272" s="1275"/>
      <c r="H272" s="1260">
        <f t="shared" ref="H272:H279" si="211">SUM(E272:G272)</f>
        <v>15600</v>
      </c>
      <c r="I272" s="1252" t="s">
        <v>280</v>
      </c>
      <c r="J272" s="1257" t="s">
        <v>993</v>
      </c>
      <c r="K272" s="1624">
        <v>120</v>
      </c>
      <c r="L272" s="1257">
        <f>H272/120</f>
        <v>130</v>
      </c>
      <c r="M272" s="1257">
        <f t="shared" ref="M272:M279" si="212">L272/1.1317</f>
        <v>114.87143235839888</v>
      </c>
      <c r="N272" s="1257">
        <f t="shared" ref="N272:N279" si="213">K272*L272</f>
        <v>15600</v>
      </c>
      <c r="O272" s="1463">
        <f t="shared" ref="O272:O279" si="214">N272/1.1317</f>
        <v>13784.571883007866</v>
      </c>
      <c r="P272" s="1488">
        <f>19700</f>
        <v>19700</v>
      </c>
      <c r="Q272" s="1489"/>
      <c r="R272" s="1489"/>
      <c r="S272" s="1489"/>
      <c r="T272" s="1487">
        <f t="shared" ref="T272:T280" si="215">SUM(P272:S272)</f>
        <v>19700</v>
      </c>
      <c r="U272" s="1490" t="s">
        <v>638</v>
      </c>
      <c r="V272" s="1407">
        <f t="shared" ref="V272:V280" si="216">P272+Q272+R272+S272</f>
        <v>19700</v>
      </c>
      <c r="W272" s="1451">
        <f t="shared" ref="W272:W280" si="217">V272/1.1317</f>
        <v>17407.440134311215</v>
      </c>
      <c r="X272" s="1407">
        <f t="shared" ref="X272:X280" si="218">V272-N272</f>
        <v>4100</v>
      </c>
      <c r="Y272" s="1408">
        <f t="shared" ref="Y272:Y280" si="219">W272-O272</f>
        <v>3622.8682513033491</v>
      </c>
      <c r="Z272" s="1391" t="s">
        <v>993</v>
      </c>
      <c r="AA272" s="1624">
        <v>30</v>
      </c>
      <c r="AB272" s="1257">
        <f>V272/30</f>
        <v>656.66666666666663</v>
      </c>
      <c r="AC272" s="1257">
        <f t="shared" ref="AC272:AC278" si="220">AB272/1.1317</f>
        <v>580.24800447704047</v>
      </c>
      <c r="AD272" s="1257">
        <f t="shared" ref="AD272:AD278" si="221">AA272*AB272</f>
        <v>19700</v>
      </c>
      <c r="AE272" s="1257">
        <f t="shared" ref="AE272:AE280" si="222">AD272/1.1317</f>
        <v>17407.440134311215</v>
      </c>
    </row>
    <row r="273" spans="1:31" ht="20.25" x14ac:dyDescent="0.3">
      <c r="A273" s="74"/>
      <c r="B273" s="204"/>
      <c r="C273" s="355" t="s">
        <v>539</v>
      </c>
      <c r="D273" s="1131" t="s">
        <v>540</v>
      </c>
      <c r="E273" s="1274"/>
      <c r="F273" s="1275"/>
      <c r="G273" s="1275"/>
      <c r="H273" s="1260">
        <f t="shared" si="211"/>
        <v>0</v>
      </c>
      <c r="I273" s="1252"/>
      <c r="J273" s="1257"/>
      <c r="K273" s="1624">
        <v>0</v>
      </c>
      <c r="L273" s="1257">
        <f t="shared" ref="L273:L277" si="223">H273/80</f>
        <v>0</v>
      </c>
      <c r="M273" s="1257">
        <f t="shared" si="212"/>
        <v>0</v>
      </c>
      <c r="N273" s="1257">
        <f t="shared" si="213"/>
        <v>0</v>
      </c>
      <c r="O273" s="1463">
        <f t="shared" si="214"/>
        <v>0</v>
      </c>
      <c r="P273" s="1516"/>
      <c r="Q273" s="1489"/>
      <c r="R273" s="1489"/>
      <c r="S273" s="1489">
        <f>2400</f>
        <v>2400</v>
      </c>
      <c r="T273" s="1487">
        <f t="shared" si="215"/>
        <v>2400</v>
      </c>
      <c r="U273" s="1490" t="s">
        <v>541</v>
      </c>
      <c r="V273" s="1407">
        <f t="shared" si="216"/>
        <v>2400</v>
      </c>
      <c r="W273" s="1451">
        <f t="shared" si="217"/>
        <v>2120.7033666165948</v>
      </c>
      <c r="X273" s="1407">
        <f t="shared" si="218"/>
        <v>2400</v>
      </c>
      <c r="Y273" s="1408">
        <f t="shared" si="219"/>
        <v>2120.7033666165948</v>
      </c>
      <c r="Z273" s="1391" t="s">
        <v>997</v>
      </c>
      <c r="AA273" s="1624">
        <v>300</v>
      </c>
      <c r="AB273" s="1257">
        <f>V273/300</f>
        <v>8</v>
      </c>
      <c r="AC273" s="1257">
        <f t="shared" si="220"/>
        <v>7.0690112220553152</v>
      </c>
      <c r="AD273" s="1257">
        <f t="shared" si="221"/>
        <v>2400</v>
      </c>
      <c r="AE273" s="1257">
        <f t="shared" si="222"/>
        <v>2120.7033666165948</v>
      </c>
    </row>
    <row r="274" spans="1:31" ht="81" x14ac:dyDescent="0.3">
      <c r="A274" s="74"/>
      <c r="B274" s="63"/>
      <c r="C274" s="355" t="s">
        <v>281</v>
      </c>
      <c r="D274" s="1131" t="s">
        <v>639</v>
      </c>
      <c r="E274" s="1274">
        <f>22875</f>
        <v>22875</v>
      </c>
      <c r="F274" s="1275">
        <f>29775</f>
        <v>29775</v>
      </c>
      <c r="G274" s="1275"/>
      <c r="H274" s="1260">
        <f t="shared" si="211"/>
        <v>52650</v>
      </c>
      <c r="I274" s="1252" t="s">
        <v>334</v>
      </c>
      <c r="J274" s="1257" t="s">
        <v>1015</v>
      </c>
      <c r="K274" s="1624">
        <v>6</v>
      </c>
      <c r="L274" s="1257">
        <f>H274/6</f>
        <v>8775</v>
      </c>
      <c r="M274" s="1257">
        <f t="shared" si="212"/>
        <v>7753.8216841919239</v>
      </c>
      <c r="N274" s="1257">
        <f t="shared" si="213"/>
        <v>52650</v>
      </c>
      <c r="O274" s="1463">
        <f t="shared" si="214"/>
        <v>46522.930105151543</v>
      </c>
      <c r="P274" s="1488">
        <v>15100</v>
      </c>
      <c r="Q274" s="1489">
        <v>50800</v>
      </c>
      <c r="R274" s="1489"/>
      <c r="S274" s="1489"/>
      <c r="T274" s="1487">
        <f t="shared" si="215"/>
        <v>65900</v>
      </c>
      <c r="U274" s="1490" t="s">
        <v>640</v>
      </c>
      <c r="V274" s="1407">
        <f t="shared" si="216"/>
        <v>65900</v>
      </c>
      <c r="W274" s="1451">
        <f t="shared" si="217"/>
        <v>58230.979941680664</v>
      </c>
      <c r="X274" s="1407">
        <f t="shared" si="218"/>
        <v>13250</v>
      </c>
      <c r="Y274" s="1408">
        <f t="shared" si="219"/>
        <v>11708.049836529121</v>
      </c>
      <c r="Z274" s="1391" t="s">
        <v>1015</v>
      </c>
      <c r="AA274" s="1624">
        <v>12</v>
      </c>
      <c r="AB274" s="1257">
        <f>V274/12</f>
        <v>5491.666666666667</v>
      </c>
      <c r="AC274" s="1257">
        <f t="shared" si="220"/>
        <v>4852.581661806722</v>
      </c>
      <c r="AD274" s="1257">
        <f t="shared" si="221"/>
        <v>65900</v>
      </c>
      <c r="AE274" s="1257">
        <f t="shared" si="222"/>
        <v>58230.979941680664</v>
      </c>
    </row>
    <row r="275" spans="1:31" ht="141.75" x14ac:dyDescent="0.3">
      <c r="A275" s="74"/>
      <c r="B275" s="63"/>
      <c r="C275" s="355" t="s">
        <v>282</v>
      </c>
      <c r="D275" s="1131" t="s">
        <v>283</v>
      </c>
      <c r="E275" s="1274">
        <f>39020</f>
        <v>39020</v>
      </c>
      <c r="F275" s="1275"/>
      <c r="G275" s="1275"/>
      <c r="H275" s="1260">
        <f t="shared" si="211"/>
        <v>39020</v>
      </c>
      <c r="I275" s="1252" t="s">
        <v>1023</v>
      </c>
      <c r="J275" s="1257" t="s">
        <v>1015</v>
      </c>
      <c r="K275" s="1624">
        <v>20</v>
      </c>
      <c r="L275" s="1257">
        <f>H275/20</f>
        <v>1951</v>
      </c>
      <c r="M275" s="1257">
        <f t="shared" si="212"/>
        <v>1723.95511177874</v>
      </c>
      <c r="N275" s="1257">
        <f t="shared" si="213"/>
        <v>39020</v>
      </c>
      <c r="O275" s="1463">
        <f t="shared" si="214"/>
        <v>34479.102235574799</v>
      </c>
      <c r="P275" s="1488">
        <f>11200</f>
        <v>11200</v>
      </c>
      <c r="Q275" s="1489">
        <f>27000</f>
        <v>27000</v>
      </c>
      <c r="R275" s="1489"/>
      <c r="S275" s="1489"/>
      <c r="T275" s="1487">
        <f t="shared" si="215"/>
        <v>38200</v>
      </c>
      <c r="U275" s="1490" t="s">
        <v>785</v>
      </c>
      <c r="V275" s="1407">
        <f t="shared" si="216"/>
        <v>38200</v>
      </c>
      <c r="W275" s="1451">
        <f t="shared" si="217"/>
        <v>33754.528585314132</v>
      </c>
      <c r="X275" s="1407">
        <f t="shared" si="218"/>
        <v>-820</v>
      </c>
      <c r="Y275" s="1408">
        <f t="shared" si="219"/>
        <v>-724.57365026066691</v>
      </c>
      <c r="Z275" s="1391" t="s">
        <v>1015</v>
      </c>
      <c r="AA275" s="1624">
        <v>20</v>
      </c>
      <c r="AB275" s="1257">
        <f>V275/20</f>
        <v>1910</v>
      </c>
      <c r="AC275" s="1257">
        <f t="shared" si="220"/>
        <v>1687.7264292657067</v>
      </c>
      <c r="AD275" s="1257">
        <f t="shared" si="221"/>
        <v>38200</v>
      </c>
      <c r="AE275" s="1257">
        <f t="shared" si="222"/>
        <v>33754.528585314132</v>
      </c>
    </row>
    <row r="276" spans="1:31" ht="101.25" x14ac:dyDescent="0.3">
      <c r="A276" s="74"/>
      <c r="B276" s="63"/>
      <c r="C276" s="355" t="s">
        <v>284</v>
      </c>
      <c r="D276" s="1131" t="s">
        <v>641</v>
      </c>
      <c r="E276" s="1274">
        <f>34461.2</f>
        <v>34461.199999999997</v>
      </c>
      <c r="F276" s="1275"/>
      <c r="G276" s="1275"/>
      <c r="H276" s="1260">
        <f t="shared" si="211"/>
        <v>34461.199999999997</v>
      </c>
      <c r="I276" s="1252" t="s">
        <v>285</v>
      </c>
      <c r="J276" s="1257" t="s">
        <v>993</v>
      </c>
      <c r="K276" s="1624">
        <v>50</v>
      </c>
      <c r="L276" s="1257">
        <f>H276/50</f>
        <v>689.22399999999993</v>
      </c>
      <c r="M276" s="1257">
        <f t="shared" si="212"/>
        <v>609.01652381373151</v>
      </c>
      <c r="N276" s="1257">
        <f t="shared" si="213"/>
        <v>34461.199999999997</v>
      </c>
      <c r="O276" s="1463">
        <f t="shared" si="214"/>
        <v>30450.826190686577</v>
      </c>
      <c r="P276" s="1488">
        <f>43900</f>
        <v>43900</v>
      </c>
      <c r="Q276" s="1489">
        <v>23100</v>
      </c>
      <c r="R276" s="1489">
        <v>4000</v>
      </c>
      <c r="S276" s="1489"/>
      <c r="T276" s="1487">
        <f t="shared" si="215"/>
        <v>71000</v>
      </c>
      <c r="U276" s="1490" t="s">
        <v>786</v>
      </c>
      <c r="V276" s="1407">
        <f t="shared" si="216"/>
        <v>71000</v>
      </c>
      <c r="W276" s="1451">
        <f t="shared" si="217"/>
        <v>62737.474595740925</v>
      </c>
      <c r="X276" s="1407">
        <f t="shared" si="218"/>
        <v>36538.800000000003</v>
      </c>
      <c r="Y276" s="1408">
        <f t="shared" si="219"/>
        <v>32286.648405054348</v>
      </c>
      <c r="Z276" s="1391" t="s">
        <v>993</v>
      </c>
      <c r="AA276" s="1624">
        <v>55</v>
      </c>
      <c r="AB276" s="1257">
        <f>V276/55</f>
        <v>1290.909090909091</v>
      </c>
      <c r="AC276" s="1257">
        <f t="shared" si="220"/>
        <v>1140.6813562861987</v>
      </c>
      <c r="AD276" s="1257">
        <f t="shared" si="221"/>
        <v>71000</v>
      </c>
      <c r="AE276" s="1257">
        <f t="shared" si="222"/>
        <v>62737.474595740925</v>
      </c>
    </row>
    <row r="277" spans="1:31" ht="60.75" x14ac:dyDescent="0.3">
      <c r="A277" s="74"/>
      <c r="B277" s="138"/>
      <c r="C277" s="64" t="s">
        <v>707</v>
      </c>
      <c r="D277" s="1135" t="s">
        <v>706</v>
      </c>
      <c r="E277" s="1274"/>
      <c r="F277" s="1275"/>
      <c r="G277" s="1275"/>
      <c r="H277" s="1260">
        <f t="shared" si="211"/>
        <v>0</v>
      </c>
      <c r="I277" s="1252"/>
      <c r="J277" s="1257"/>
      <c r="K277" s="1624">
        <v>0</v>
      </c>
      <c r="L277" s="1257">
        <f t="shared" si="223"/>
        <v>0</v>
      </c>
      <c r="M277" s="1257">
        <f t="shared" si="212"/>
        <v>0</v>
      </c>
      <c r="N277" s="1257">
        <f t="shared" si="213"/>
        <v>0</v>
      </c>
      <c r="O277" s="1463">
        <f t="shared" si="214"/>
        <v>0</v>
      </c>
      <c r="P277" s="1516"/>
      <c r="Q277" s="1517"/>
      <c r="R277" s="1517">
        <f>4000</f>
        <v>4000</v>
      </c>
      <c r="S277" s="1517">
        <f>5600</f>
        <v>5600</v>
      </c>
      <c r="T277" s="1487">
        <f t="shared" si="215"/>
        <v>9600</v>
      </c>
      <c r="U277" s="1490" t="s">
        <v>724</v>
      </c>
      <c r="V277" s="1407">
        <f t="shared" si="216"/>
        <v>9600</v>
      </c>
      <c r="W277" s="1451">
        <f t="shared" si="217"/>
        <v>8482.8134664663794</v>
      </c>
      <c r="X277" s="1407">
        <f t="shared" si="218"/>
        <v>9600</v>
      </c>
      <c r="Y277" s="1408">
        <f t="shared" si="219"/>
        <v>8482.8134664663794</v>
      </c>
      <c r="Z277" s="1391" t="s">
        <v>1036</v>
      </c>
      <c r="AA277" s="1624">
        <v>160</v>
      </c>
      <c r="AB277" s="1257">
        <f>V277/160</f>
        <v>60</v>
      </c>
      <c r="AC277" s="1257">
        <f t="shared" si="220"/>
        <v>53.017584165414867</v>
      </c>
      <c r="AD277" s="1257">
        <f t="shared" si="221"/>
        <v>9600</v>
      </c>
      <c r="AE277" s="1257">
        <f t="shared" si="222"/>
        <v>8482.8134664663794</v>
      </c>
    </row>
    <row r="278" spans="1:31" ht="40.5" x14ac:dyDescent="0.3">
      <c r="A278" s="74"/>
      <c r="B278" s="63"/>
      <c r="C278" s="355" t="s">
        <v>286</v>
      </c>
      <c r="D278" s="1131" t="s">
        <v>287</v>
      </c>
      <c r="E278" s="1274">
        <f>3750</f>
        <v>3750</v>
      </c>
      <c r="F278" s="1275">
        <f>10107</f>
        <v>10107</v>
      </c>
      <c r="G278" s="1275"/>
      <c r="H278" s="1260">
        <f t="shared" si="211"/>
        <v>13857</v>
      </c>
      <c r="I278" s="1252" t="s">
        <v>288</v>
      </c>
      <c r="J278" s="1257" t="s">
        <v>993</v>
      </c>
      <c r="K278" s="1624">
        <v>120</v>
      </c>
      <c r="L278" s="1257">
        <f>H278/120</f>
        <v>115.47499999999999</v>
      </c>
      <c r="M278" s="1257">
        <f t="shared" si="212"/>
        <v>102.03675885835469</v>
      </c>
      <c r="N278" s="1257">
        <f t="shared" si="213"/>
        <v>13857</v>
      </c>
      <c r="O278" s="1463">
        <f t="shared" si="214"/>
        <v>12244.411063002563</v>
      </c>
      <c r="P278" s="1488">
        <f>4300</f>
        <v>4300</v>
      </c>
      <c r="Q278" s="1489">
        <f>2800</f>
        <v>2800</v>
      </c>
      <c r="R278" s="1489"/>
      <c r="S278" s="1489"/>
      <c r="T278" s="1487">
        <f t="shared" si="215"/>
        <v>7100</v>
      </c>
      <c r="U278" s="1490" t="s">
        <v>642</v>
      </c>
      <c r="V278" s="1407">
        <f t="shared" si="216"/>
        <v>7100</v>
      </c>
      <c r="W278" s="1451">
        <f t="shared" si="217"/>
        <v>6273.7474595740923</v>
      </c>
      <c r="X278" s="1407">
        <f t="shared" si="218"/>
        <v>-6757</v>
      </c>
      <c r="Y278" s="1408">
        <f t="shared" si="219"/>
        <v>-5970.6636034284702</v>
      </c>
      <c r="Z278" s="1391" t="s">
        <v>993</v>
      </c>
      <c r="AA278" s="1624">
        <v>120</v>
      </c>
      <c r="AB278" s="1257">
        <f>V278/120</f>
        <v>59.166666666666664</v>
      </c>
      <c r="AC278" s="1257">
        <f t="shared" si="220"/>
        <v>52.281228829784105</v>
      </c>
      <c r="AD278" s="1257">
        <f t="shared" si="221"/>
        <v>7100</v>
      </c>
      <c r="AE278" s="1257">
        <f t="shared" si="222"/>
        <v>6273.7474595740923</v>
      </c>
    </row>
    <row r="279" spans="1:31" ht="141.75" x14ac:dyDescent="0.3">
      <c r="A279" s="74"/>
      <c r="B279" s="204"/>
      <c r="C279" s="355" t="s">
        <v>289</v>
      </c>
      <c r="D279" s="1131" t="s">
        <v>290</v>
      </c>
      <c r="E279" s="1274">
        <f>24400</f>
        <v>24400</v>
      </c>
      <c r="F279" s="1275">
        <f>12697</f>
        <v>12697</v>
      </c>
      <c r="G279" s="1275"/>
      <c r="H279" s="1260">
        <f t="shared" si="211"/>
        <v>37097</v>
      </c>
      <c r="I279" s="1252" t="s">
        <v>340</v>
      </c>
      <c r="J279" s="1257" t="s">
        <v>993</v>
      </c>
      <c r="K279" s="1624">
        <v>60</v>
      </c>
      <c r="L279" s="1257">
        <f>H279/60</f>
        <v>618.2833333333333</v>
      </c>
      <c r="M279" s="1257">
        <f t="shared" si="212"/>
        <v>546.33147771788754</v>
      </c>
      <c r="N279" s="1257">
        <f t="shared" si="213"/>
        <v>37097</v>
      </c>
      <c r="O279" s="1463">
        <f t="shared" si="214"/>
        <v>32779.888663073252</v>
      </c>
      <c r="P279" s="1488">
        <v>42900</v>
      </c>
      <c r="Q279" s="1489"/>
      <c r="R279" s="1489"/>
      <c r="S279" s="1489"/>
      <c r="T279" s="1487">
        <f t="shared" si="215"/>
        <v>42900</v>
      </c>
      <c r="U279" s="1490" t="s">
        <v>643</v>
      </c>
      <c r="V279" s="1407">
        <f t="shared" si="216"/>
        <v>42900</v>
      </c>
      <c r="W279" s="1451">
        <f t="shared" si="217"/>
        <v>37907.57267827163</v>
      </c>
      <c r="X279" s="1407">
        <f t="shared" si="218"/>
        <v>5803</v>
      </c>
      <c r="Y279" s="1408">
        <f t="shared" si="219"/>
        <v>5127.6840151983779</v>
      </c>
      <c r="Z279" s="1391" t="s">
        <v>993</v>
      </c>
      <c r="AA279" s="1624">
        <v>60</v>
      </c>
      <c r="AB279" s="1257">
        <f>V279/60</f>
        <v>715</v>
      </c>
      <c r="AC279" s="1257">
        <f t="shared" ref="AC279:AC280" si="224">AB279/1.1317</f>
        <v>631.79287797119378</v>
      </c>
      <c r="AD279" s="1257">
        <f t="shared" ref="AD279:AD280" si="225">AA279*AB279</f>
        <v>42900</v>
      </c>
      <c r="AE279" s="1257">
        <f t="shared" si="222"/>
        <v>37907.57267827163</v>
      </c>
    </row>
    <row r="280" spans="1:31" ht="61.5" thickBot="1" x14ac:dyDescent="0.35">
      <c r="A280" s="74"/>
      <c r="B280" s="142"/>
      <c r="C280" s="444" t="s">
        <v>708</v>
      </c>
      <c r="D280" s="1131" t="s">
        <v>990</v>
      </c>
      <c r="E280" s="1290"/>
      <c r="F280" s="1291"/>
      <c r="G280" s="1291"/>
      <c r="H280" s="1264"/>
      <c r="I280" s="1252"/>
      <c r="J280" s="1265"/>
      <c r="K280" s="1265"/>
      <c r="L280" s="1265"/>
      <c r="M280" s="1265"/>
      <c r="N280" s="1265"/>
      <c r="O280" s="1464"/>
      <c r="P280" s="1550"/>
      <c r="Q280" s="1551"/>
      <c r="R280" s="1551"/>
      <c r="S280" s="1493">
        <f>11200</f>
        <v>11200</v>
      </c>
      <c r="T280" s="1518">
        <f t="shared" si="215"/>
        <v>11200</v>
      </c>
      <c r="U280" s="1494" t="s">
        <v>878</v>
      </c>
      <c r="V280" s="1409">
        <f t="shared" si="216"/>
        <v>11200</v>
      </c>
      <c r="W280" s="1451">
        <f t="shared" si="217"/>
        <v>9896.6157108774423</v>
      </c>
      <c r="X280" s="1407">
        <f t="shared" si="218"/>
        <v>11200</v>
      </c>
      <c r="Y280" s="1408">
        <f t="shared" si="219"/>
        <v>9896.6157108774423</v>
      </c>
      <c r="Z280" s="1391" t="s">
        <v>993</v>
      </c>
      <c r="AA280" s="1625">
        <v>160</v>
      </c>
      <c r="AB280" s="1265">
        <f>V280/160</f>
        <v>70</v>
      </c>
      <c r="AC280" s="1265">
        <f t="shared" si="224"/>
        <v>61.85384819298401</v>
      </c>
      <c r="AD280" s="1265">
        <f t="shared" si="225"/>
        <v>11200</v>
      </c>
      <c r="AE280" s="1257">
        <f t="shared" si="222"/>
        <v>9896.6157108774423</v>
      </c>
    </row>
    <row r="281" spans="1:31" ht="33.75" customHeight="1" thickBot="1" x14ac:dyDescent="0.35">
      <c r="A281" s="74"/>
      <c r="B281" s="163" t="s">
        <v>45</v>
      </c>
      <c r="C281" s="740"/>
      <c r="D281" s="1136"/>
      <c r="E281" s="1167">
        <f>SUM(E272:E280)</f>
        <v>140106.20000000001</v>
      </c>
      <c r="F281" s="1168">
        <f t="shared" ref="F281:H281" si="226">SUM(F272:F280)</f>
        <v>52579</v>
      </c>
      <c r="G281" s="1168">
        <f t="shared" si="226"/>
        <v>0</v>
      </c>
      <c r="H281" s="1169">
        <f t="shared" si="226"/>
        <v>192685.2</v>
      </c>
      <c r="I281" s="741"/>
      <c r="J281" s="741"/>
      <c r="K281" s="741"/>
      <c r="L281" s="741"/>
      <c r="M281" s="741"/>
      <c r="N281" s="741">
        <f t="shared" ref="N281" si="227">SUM(N272:N280)</f>
        <v>192685.2</v>
      </c>
      <c r="O281" s="1477">
        <f>SUM(O272:O280)+0.27</f>
        <v>170262.00014049659</v>
      </c>
      <c r="P281" s="1432">
        <f>SUM(P272:P280)</f>
        <v>137100</v>
      </c>
      <c r="Q281" s="1532">
        <f t="shared" ref="Q281:T281" si="228">SUM(Q272:Q280)</f>
        <v>103700</v>
      </c>
      <c r="R281" s="1532">
        <f t="shared" si="228"/>
        <v>8000</v>
      </c>
      <c r="S281" s="1532">
        <f t="shared" si="228"/>
        <v>19200</v>
      </c>
      <c r="T281" s="1532">
        <f t="shared" si="228"/>
        <v>268000</v>
      </c>
      <c r="U281" s="1433"/>
      <c r="V281" s="1432">
        <f t="shared" ref="V281" si="229">SUM(V272:V280)</f>
        <v>268000</v>
      </c>
      <c r="W281" s="1433">
        <f t="shared" ref="W281" si="230">SUM(W272:W280)</f>
        <v>236811.87593885305</v>
      </c>
      <c r="X281" s="1432">
        <f>P281/1.11</f>
        <v>123513.51351351351</v>
      </c>
      <c r="Y281" s="1433">
        <f>Q281/1.11</f>
        <v>93423.423423423417</v>
      </c>
      <c r="Z281" s="1301"/>
      <c r="AA281" s="741"/>
      <c r="AB281" s="741"/>
      <c r="AC281" s="741"/>
      <c r="AD281" s="741">
        <f t="shared" ref="AD281" si="231">SUM(AD272:AD280)</f>
        <v>268000</v>
      </c>
      <c r="AE281" s="741">
        <f t="shared" ref="AE281" si="232">SUM(AE272:AE280)</f>
        <v>236811.87593885305</v>
      </c>
    </row>
    <row r="282" spans="1:31" ht="33.75" customHeight="1" thickBot="1" x14ac:dyDescent="0.35">
      <c r="A282" s="74"/>
      <c r="B282" s="1339"/>
      <c r="C282" s="1340"/>
      <c r="D282" s="1341" t="s">
        <v>1034</v>
      </c>
      <c r="E282" s="1342"/>
      <c r="F282" s="1343"/>
      <c r="G282" s="1343"/>
      <c r="H282" s="1344"/>
      <c r="I282" s="1345"/>
      <c r="J282" s="1346"/>
      <c r="K282" s="1346"/>
      <c r="L282" s="1346"/>
      <c r="M282" s="1346"/>
      <c r="N282" s="1346">
        <f>N269+N281</f>
        <v>325765.2</v>
      </c>
      <c r="O282" s="1379">
        <f>O269+O281</f>
        <v>287855.00181938673</v>
      </c>
      <c r="P282" s="1439"/>
      <c r="Q282" s="1552"/>
      <c r="R282" s="1552"/>
      <c r="S282" s="1552"/>
      <c r="T282" s="1552">
        <f>T269+T281</f>
        <v>366800</v>
      </c>
      <c r="U282" s="1440"/>
      <c r="V282" s="1439">
        <f>V269+V281</f>
        <v>366800</v>
      </c>
      <c r="W282" s="1440">
        <f>W269+W281</f>
        <v>324114.16453123617</v>
      </c>
      <c r="X282" s="1439">
        <f>X269+X281</f>
        <v>89233.513513513506</v>
      </c>
      <c r="Y282" s="1440">
        <f>Y269+Y281</f>
        <v>63132.710336916396</v>
      </c>
      <c r="Z282" s="1399"/>
      <c r="AA282" s="1346"/>
      <c r="AB282" s="1346"/>
      <c r="AC282" s="1346"/>
      <c r="AD282" s="1346">
        <f>AD269+AD281</f>
        <v>366800</v>
      </c>
      <c r="AE282" s="1346">
        <f>AE269+AE281</f>
        <v>324114.16453123617</v>
      </c>
    </row>
    <row r="283" spans="1:31" ht="34.5" customHeight="1" thickBot="1" x14ac:dyDescent="0.35">
      <c r="A283" s="74"/>
      <c r="B283" s="142"/>
      <c r="C283" s="64"/>
      <c r="D283" s="1137"/>
      <c r="E283" s="1165"/>
      <c r="F283" s="998"/>
      <c r="G283" s="998"/>
      <c r="H283" s="1166"/>
      <c r="I283" s="739"/>
      <c r="J283" s="739"/>
      <c r="K283" s="739"/>
      <c r="L283" s="739"/>
      <c r="M283" s="739"/>
      <c r="N283" s="739"/>
      <c r="O283" s="1466"/>
      <c r="P283" s="1553"/>
      <c r="Q283" s="1554"/>
      <c r="R283" s="1554"/>
      <c r="S283" s="1554"/>
      <c r="T283" s="1554"/>
      <c r="U283" s="1442"/>
      <c r="V283" s="1441"/>
      <c r="W283" s="1442"/>
      <c r="X283" s="1441"/>
      <c r="Y283" s="1442"/>
      <c r="Z283" s="1384"/>
      <c r="AA283" s="739"/>
      <c r="AB283" s="739"/>
      <c r="AC283" s="739"/>
      <c r="AD283" s="739"/>
      <c r="AE283" s="739"/>
    </row>
    <row r="284" spans="1:31" ht="40.5" customHeight="1" thickBot="1" x14ac:dyDescent="0.35">
      <c r="A284" s="80"/>
      <c r="B284" s="164" t="s">
        <v>291</v>
      </c>
      <c r="C284" s="165"/>
      <c r="D284" s="1138"/>
      <c r="E284" s="1162">
        <f>SUM(E76+E91+E112+E123+E130+E162+E170+E201+E256+E269+E281)</f>
        <v>1888785.11</v>
      </c>
      <c r="F284" s="1163">
        <f>SUM(F76+F91+F112+F123+F130+F162+F170+F201+F256+F269+F281)</f>
        <v>1142251.1299999999</v>
      </c>
      <c r="G284" s="1163">
        <f>SUM(G76+G91+G112+G123+G130+G162+G170+G201+G256+G269+G281)</f>
        <v>274626.66000000003</v>
      </c>
      <c r="H284" s="1164">
        <f>SUM(H76+H91+H112+H123+H130+H162+H170+H201+H256+H269+H281)</f>
        <v>3305662.9000000004</v>
      </c>
      <c r="I284" s="1188"/>
      <c r="J284" s="736"/>
      <c r="K284" s="736"/>
      <c r="L284" s="736"/>
      <c r="M284" s="736"/>
      <c r="N284" s="738">
        <f t="shared" ref="N284:T284" si="233">SUM(N76+N91+N112+N123+N130+N162+N170+N201+N256+N269+N281)</f>
        <v>3305662.9000000004</v>
      </c>
      <c r="O284" s="2179">
        <f>SUM(O76+O91+O112+O123+O130+O162+O170+O201+O256+O269+O281)+1.86</f>
        <v>2920972.8570539891</v>
      </c>
      <c r="P284" s="1443">
        <f t="shared" si="233"/>
        <v>1652767.7</v>
      </c>
      <c r="Q284" s="1555">
        <f t="shared" si="233"/>
        <v>1579446.8399999999</v>
      </c>
      <c r="R284" s="1555">
        <f t="shared" si="233"/>
        <v>935986.41</v>
      </c>
      <c r="S284" s="1555">
        <f t="shared" si="233"/>
        <v>839420.2</v>
      </c>
      <c r="T284" s="1555">
        <f t="shared" si="233"/>
        <v>5007621.1500000004</v>
      </c>
      <c r="U284" s="1555"/>
      <c r="V284" s="1555">
        <f>SUM(V76+V91+V112+V123+V130+V162+V170+V201+V256+V269+V281)</f>
        <v>5007621.1500000004</v>
      </c>
      <c r="W284" s="1555">
        <f>SUM(W76+W91+W112+W123+W130+W162+W170+W201+W256+W269+W281)</f>
        <v>4424866.2631439427</v>
      </c>
      <c r="X284" s="1555">
        <f>SUM(X76+X91+X112+X123+X130+X162+X170+X201+X256+X269+X281)</f>
        <v>1768156.9635135138</v>
      </c>
      <c r="Y284" s="1555">
        <f>SUM(Y76+Y91+Y112+Y123+Y130+Y162+Y170+Y201+Y256+Y269+Y281)</f>
        <v>1546673.798964645</v>
      </c>
      <c r="Z284" s="1555"/>
      <c r="AA284" s="1555"/>
      <c r="AB284" s="1555"/>
      <c r="AC284" s="1555"/>
      <c r="AD284" s="1555">
        <f>SUM(AD76+AD91+AD112+AD123+AD130+AD162+AD170+AD201+AD256+AD269+AD281)+0.3</f>
        <v>5007621.45</v>
      </c>
      <c r="AE284" s="1555">
        <f>SUM(AE76+AE91+AE112+AE123+AE130+AE162+AE170+AE201+AE256+AE269+AE281)+0.3</f>
        <v>4424866.5631439425</v>
      </c>
    </row>
    <row r="285" spans="1:31" ht="33.75" customHeight="1" thickBot="1" x14ac:dyDescent="0.35">
      <c r="B285" s="166" t="s">
        <v>292</v>
      </c>
      <c r="C285" s="167"/>
      <c r="D285" s="1139"/>
      <c r="E285" s="1161">
        <f>132214.96</f>
        <v>132214.96</v>
      </c>
      <c r="F285" s="1161">
        <f>79957.58</f>
        <v>79957.58</v>
      </c>
      <c r="G285" s="1161">
        <f>19223.87</f>
        <v>19223.87</v>
      </c>
      <c r="H285" s="1161">
        <f t="shared" ref="H285" si="234">SUM(E285:G285)</f>
        <v>231396.40999999997</v>
      </c>
      <c r="I285" s="1161"/>
      <c r="J285" s="1161"/>
      <c r="K285" s="1161"/>
      <c r="L285" s="1161"/>
      <c r="M285" s="1161"/>
      <c r="N285" s="1161">
        <v>231396</v>
      </c>
      <c r="O285" s="2179">
        <f>N285/1.1317+0.02</f>
        <v>204467.63509233895</v>
      </c>
      <c r="P285" s="1456">
        <f>87473.04</f>
        <v>87473.04</v>
      </c>
      <c r="Q285" s="1556">
        <f>76426.52</f>
        <v>76426.52</v>
      </c>
      <c r="R285" s="1556">
        <f>40000</f>
        <v>40000</v>
      </c>
      <c r="S285" s="1556">
        <f>35000</f>
        <v>35000</v>
      </c>
      <c r="T285" s="1556">
        <f>SUM(P285:S285)</f>
        <v>238899.56</v>
      </c>
      <c r="U285" s="1556"/>
      <c r="V285" s="1556">
        <f>T285</f>
        <v>238899.56</v>
      </c>
      <c r="W285" s="1556">
        <f>+V285/1.1317</f>
        <v>211097.95882300966</v>
      </c>
      <c r="X285" s="1556"/>
      <c r="Y285" s="1556"/>
      <c r="Z285" s="1556"/>
      <c r="AA285" s="1556"/>
      <c r="AB285" s="1556"/>
      <c r="AC285" s="1556"/>
      <c r="AD285" s="1556">
        <f>V285</f>
        <v>238899.56</v>
      </c>
      <c r="AE285" s="1556">
        <f>AD285/1.1317</f>
        <v>211097.95882300966</v>
      </c>
    </row>
    <row r="286" spans="1:31" ht="21" thickBot="1" x14ac:dyDescent="0.35">
      <c r="B286" s="168"/>
      <c r="C286" s="742"/>
      <c r="D286" s="1140"/>
      <c r="E286" s="1158"/>
      <c r="F286" s="1159"/>
      <c r="G286" s="1159"/>
      <c r="H286" s="1160"/>
      <c r="I286" s="5"/>
      <c r="J286" s="974"/>
      <c r="K286" s="974"/>
      <c r="L286" s="974"/>
      <c r="M286" s="974"/>
      <c r="N286" s="974"/>
      <c r="O286" s="1480"/>
      <c r="P286" s="1557"/>
      <c r="Q286" s="1558"/>
      <c r="R286" s="1558"/>
      <c r="S286" s="1558"/>
      <c r="T286" s="1558"/>
      <c r="U286" s="1445"/>
      <c r="V286" s="1444"/>
      <c r="W286" s="1457"/>
      <c r="X286" s="1444"/>
      <c r="Y286" s="1445"/>
      <c r="Z286" s="1400"/>
      <c r="AA286" s="974"/>
      <c r="AB286" s="974"/>
      <c r="AC286" s="974"/>
      <c r="AD286" s="974"/>
      <c r="AE286" s="974"/>
    </row>
    <row r="287" spans="1:31" ht="34.5" customHeight="1" thickBot="1" x14ac:dyDescent="0.35">
      <c r="B287" s="169" t="s">
        <v>293</v>
      </c>
      <c r="C287" s="743"/>
      <c r="D287" s="1141"/>
      <c r="E287" s="744">
        <f t="shared" ref="E287:I287" si="235">E284+E285</f>
        <v>2021000.07</v>
      </c>
      <c r="F287" s="744">
        <f t="shared" si="235"/>
        <v>1222208.71</v>
      </c>
      <c r="G287" s="744">
        <f t="shared" si="235"/>
        <v>293850.53000000003</v>
      </c>
      <c r="H287" s="744">
        <f>H284+H285+0.69</f>
        <v>3537060.0000000005</v>
      </c>
      <c r="I287" s="744">
        <f t="shared" si="235"/>
        <v>0</v>
      </c>
      <c r="J287" s="744">
        <f t="shared" ref="J287:M287" si="236">J284+J285</f>
        <v>0</v>
      </c>
      <c r="K287" s="744">
        <f t="shared" si="236"/>
        <v>0</v>
      </c>
      <c r="L287" s="744">
        <f t="shared" si="236"/>
        <v>0</v>
      </c>
      <c r="M287" s="744">
        <f t="shared" si="236"/>
        <v>0</v>
      </c>
      <c r="N287" s="2539">
        <f>N284+N285+1</f>
        <v>3537059.9000000004</v>
      </c>
      <c r="O287" s="2530">
        <f t="shared" ref="O287:T287" si="237">O284+O285</f>
        <v>3125440.4921463281</v>
      </c>
      <c r="P287" s="1446">
        <f t="shared" si="237"/>
        <v>1740240.74</v>
      </c>
      <c r="Q287" s="1559">
        <f t="shared" si="237"/>
        <v>1655873.3599999999</v>
      </c>
      <c r="R287" s="1559">
        <f t="shared" si="237"/>
        <v>975986.41</v>
      </c>
      <c r="S287" s="1559">
        <f>S284+S285</f>
        <v>874420.2</v>
      </c>
      <c r="T287" s="1559">
        <f t="shared" si="237"/>
        <v>5246520.71</v>
      </c>
      <c r="U287" s="1560"/>
      <c r="V287" s="1446">
        <f>V284+V285</f>
        <v>5246520.71</v>
      </c>
      <c r="W287" s="1446">
        <f>W284+W285</f>
        <v>4635964.2219669521</v>
      </c>
      <c r="X287" s="1446">
        <f t="shared" ref="X287:AE287" si="238">X284+X285</f>
        <v>1768156.9635135138</v>
      </c>
      <c r="Y287" s="1447">
        <f t="shared" si="238"/>
        <v>1546673.798964645</v>
      </c>
      <c r="Z287" s="1302">
        <f t="shared" si="238"/>
        <v>0</v>
      </c>
      <c r="AA287" s="744">
        <f t="shared" si="238"/>
        <v>0</v>
      </c>
      <c r="AB287" s="744">
        <f t="shared" si="238"/>
        <v>0</v>
      </c>
      <c r="AC287" s="744">
        <f t="shared" si="238"/>
        <v>0</v>
      </c>
      <c r="AD287" s="744">
        <f t="shared" si="238"/>
        <v>5246521.01</v>
      </c>
      <c r="AE287" s="744">
        <f t="shared" si="238"/>
        <v>4635964.5219669519</v>
      </c>
    </row>
    <row r="288" spans="1:31" ht="16.5" thickTop="1" x14ac:dyDescent="0.25">
      <c r="P288" s="5"/>
      <c r="Q288" s="5"/>
      <c r="R288" s="5"/>
      <c r="S288" s="5"/>
      <c r="T288" s="5"/>
      <c r="U288" s="5"/>
      <c r="W288" s="174"/>
      <c r="X288" s="174"/>
      <c r="Y288" s="5"/>
      <c r="AC288" s="222"/>
      <c r="AD288" s="223"/>
    </row>
    <row r="289" spans="1:30" ht="27.75" customHeight="1" x14ac:dyDescent="0.35">
      <c r="C289" s="5"/>
      <c r="D289" s="82"/>
      <c r="E289" s="82"/>
      <c r="F289" s="82"/>
      <c r="G289" s="82"/>
      <c r="H289" s="82"/>
      <c r="I289" s="81"/>
      <c r="J289" s="81"/>
      <c r="K289" s="81"/>
      <c r="L289" s="81"/>
      <c r="M289" s="81"/>
      <c r="N289" s="81"/>
      <c r="O289" s="81"/>
      <c r="P289" s="199"/>
      <c r="Q289" s="199"/>
      <c r="R289" s="199"/>
      <c r="S289" s="199"/>
      <c r="T289" s="199"/>
      <c r="U289" s="5"/>
      <c r="V289" s="81"/>
      <c r="W289" s="81"/>
      <c r="X289" s="81"/>
      <c r="Y289" s="81"/>
      <c r="AD289" s="81"/>
    </row>
    <row r="290" spans="1:30" ht="27.75" customHeight="1" x14ac:dyDescent="0.35">
      <c r="C290" s="5"/>
      <c r="D290" s="2701" t="s">
        <v>1137</v>
      </c>
      <c r="E290" s="2633"/>
      <c r="F290" s="2532"/>
      <c r="G290" s="2532"/>
      <c r="H290" s="2532"/>
      <c r="I290" s="2701"/>
      <c r="J290" s="2633"/>
      <c r="K290" s="81"/>
      <c r="L290" s="81"/>
      <c r="M290" s="81"/>
      <c r="N290" s="81"/>
      <c r="O290" s="81"/>
      <c r="P290" s="199"/>
      <c r="Q290" s="199"/>
      <c r="R290" s="199"/>
      <c r="S290" s="199"/>
      <c r="T290" s="199"/>
      <c r="U290" s="5"/>
      <c r="V290" s="81"/>
      <c r="W290" s="81"/>
      <c r="X290" s="81"/>
      <c r="Y290" s="81"/>
      <c r="AD290" s="81"/>
    </row>
    <row r="291" spans="1:30" ht="27.75" customHeight="1" x14ac:dyDescent="0.35">
      <c r="C291" s="5"/>
      <c r="D291" s="2701" t="s">
        <v>1138</v>
      </c>
      <c r="E291" s="2633"/>
      <c r="F291" s="2532"/>
      <c r="G291" s="2532"/>
      <c r="H291" s="2532"/>
      <c r="I291" s="2701"/>
      <c r="J291" s="2633"/>
      <c r="K291" s="81"/>
      <c r="L291" s="81"/>
      <c r="M291" s="81"/>
      <c r="N291" s="81"/>
      <c r="O291" s="81"/>
      <c r="P291" s="199"/>
      <c r="Q291" s="199"/>
      <c r="R291" s="199"/>
      <c r="S291" s="199"/>
      <c r="T291" s="199"/>
      <c r="U291" s="5"/>
      <c r="V291" s="81"/>
      <c r="W291" s="81"/>
      <c r="X291" s="81"/>
      <c r="Y291" s="81"/>
      <c r="AD291" s="81"/>
    </row>
    <row r="292" spans="1:30" ht="27.75" customHeight="1" x14ac:dyDescent="0.35">
      <c r="C292" s="5"/>
      <c r="D292" s="2536" t="s">
        <v>46</v>
      </c>
      <c r="E292" s="2537" t="s">
        <v>1139</v>
      </c>
      <c r="F292" s="2532"/>
      <c r="G292" s="2532"/>
      <c r="H292" s="2532"/>
      <c r="I292" s="2535"/>
      <c r="J292" s="2537"/>
      <c r="K292" s="81"/>
      <c r="L292" s="81"/>
      <c r="M292" s="81"/>
      <c r="N292" s="81"/>
      <c r="O292" s="81"/>
      <c r="P292" s="199"/>
      <c r="Q292" s="199"/>
      <c r="R292" s="199"/>
      <c r="S292" s="199"/>
      <c r="T292" s="199"/>
      <c r="U292" s="5"/>
      <c r="V292" s="81"/>
      <c r="W292" s="81"/>
      <c r="X292" s="81"/>
      <c r="Y292" s="81"/>
      <c r="AD292" s="81"/>
    </row>
    <row r="293" spans="1:30" ht="27.75" customHeight="1" x14ac:dyDescent="0.35">
      <c r="C293" s="5"/>
      <c r="D293" s="2536" t="s">
        <v>47</v>
      </c>
      <c r="E293" s="2537" t="s">
        <v>1140</v>
      </c>
      <c r="F293" s="2532"/>
      <c r="G293" s="2532"/>
      <c r="H293" s="2532"/>
      <c r="I293" s="2535"/>
      <c r="J293" s="2537"/>
      <c r="K293" s="81"/>
      <c r="L293" s="81"/>
      <c r="M293" s="81"/>
      <c r="N293" s="81"/>
      <c r="O293" s="81"/>
      <c r="P293" s="199"/>
      <c r="Q293" s="199"/>
      <c r="R293" s="199"/>
      <c r="S293" s="199"/>
      <c r="T293" s="199"/>
      <c r="U293" s="5"/>
      <c r="V293" s="81"/>
      <c r="W293" s="81"/>
      <c r="X293" s="81"/>
      <c r="Y293" s="81"/>
      <c r="AD293" s="81"/>
    </row>
    <row r="294" spans="1:30" ht="27.75" customHeight="1" x14ac:dyDescent="0.35">
      <c r="C294" s="5"/>
      <c r="D294" s="2536" t="s">
        <v>49</v>
      </c>
      <c r="E294" s="2537" t="s">
        <v>1141</v>
      </c>
      <c r="F294" s="2532"/>
      <c r="G294" s="2532"/>
      <c r="H294" s="2532"/>
      <c r="I294" s="2535"/>
      <c r="J294" s="2537"/>
      <c r="K294" s="81"/>
      <c r="L294" s="81"/>
      <c r="M294" s="81"/>
      <c r="N294" s="81"/>
      <c r="O294" s="81"/>
      <c r="P294" s="199"/>
      <c r="Q294" s="199"/>
      <c r="R294" s="199"/>
      <c r="S294" s="199"/>
      <c r="T294" s="199"/>
      <c r="U294" s="5"/>
      <c r="V294" s="81"/>
      <c r="W294" s="81"/>
      <c r="X294" s="81"/>
      <c r="Y294" s="81"/>
      <c r="AD294" s="81"/>
    </row>
    <row r="295" spans="1:30" ht="18.75" thickBot="1" x14ac:dyDescent="0.25">
      <c r="C295" s="5"/>
      <c r="D295" s="177"/>
      <c r="E295" s="177"/>
      <c r="F295" s="177"/>
      <c r="G295" s="177"/>
      <c r="H295" s="177"/>
      <c r="I295" s="177"/>
      <c r="J295" s="177"/>
      <c r="K295" s="177"/>
      <c r="L295" s="177"/>
      <c r="M295" s="177"/>
      <c r="N295" s="177"/>
      <c r="O295" s="177"/>
      <c r="P295" s="400"/>
      <c r="Q295" s="82"/>
      <c r="R295" s="5"/>
      <c r="S295" s="5"/>
      <c r="T295" s="5"/>
      <c r="U295" s="177"/>
      <c r="V295" s="400"/>
      <c r="W295" s="82"/>
      <c r="X295" s="5"/>
      <c r="Y295" s="5"/>
      <c r="Z295" s="5"/>
      <c r="AA295" s="5"/>
      <c r="AD295" s="81"/>
    </row>
    <row r="296" spans="1:30" ht="18" x14ac:dyDescent="0.25">
      <c r="C296" s="5"/>
      <c r="D296" s="402" t="s">
        <v>857</v>
      </c>
      <c r="E296" s="403" t="s">
        <v>30</v>
      </c>
      <c r="F296" s="403" t="s">
        <v>28</v>
      </c>
      <c r="G296" s="403" t="s">
        <v>296</v>
      </c>
      <c r="H296" s="2204" t="s">
        <v>45</v>
      </c>
      <c r="I296" s="404" t="s">
        <v>854</v>
      </c>
      <c r="J296" s="404" t="s">
        <v>293</v>
      </c>
      <c r="K296" s="1064"/>
      <c r="L296" s="1064"/>
      <c r="M296" s="1064"/>
      <c r="N296" s="1064"/>
      <c r="O296" s="84"/>
      <c r="P296" s="1064"/>
      <c r="Q296" s="1064"/>
      <c r="R296" s="1064"/>
      <c r="S296" s="1064"/>
      <c r="T296" s="1064"/>
      <c r="U296" s="177"/>
      <c r="V296" s="400"/>
      <c r="W296" s="82"/>
      <c r="X296" s="5"/>
      <c r="Y296" s="5"/>
      <c r="Z296" s="5"/>
      <c r="AA296" s="5"/>
      <c r="AB296" s="5"/>
    </row>
    <row r="297" spans="1:30" ht="16.5" thickBot="1" x14ac:dyDescent="0.3">
      <c r="C297" s="5"/>
      <c r="D297" s="1057"/>
      <c r="E297" s="406" t="s">
        <v>295</v>
      </c>
      <c r="F297" s="406" t="s">
        <v>295</v>
      </c>
      <c r="G297" s="406" t="s">
        <v>295</v>
      </c>
      <c r="H297" s="2207" t="s">
        <v>295</v>
      </c>
      <c r="I297" s="407" t="s">
        <v>295</v>
      </c>
      <c r="J297" s="407" t="s">
        <v>295</v>
      </c>
      <c r="K297" s="1064"/>
      <c r="L297" s="1064"/>
      <c r="M297" s="1064"/>
      <c r="N297" s="1064"/>
      <c r="O297" s="84"/>
      <c r="P297" s="1064"/>
      <c r="Q297" s="1064"/>
      <c r="R297" s="1064"/>
      <c r="S297" s="1064"/>
      <c r="T297" s="1064"/>
      <c r="U297" s="84"/>
      <c r="V297" s="1064"/>
      <c r="W297" s="1064"/>
      <c r="X297" s="1064"/>
      <c r="Y297" s="1064"/>
      <c r="Z297" s="1064"/>
      <c r="AA297" s="1064"/>
      <c r="AB297" s="1064"/>
    </row>
    <row r="298" spans="1:30" ht="15.75" x14ac:dyDescent="0.25">
      <c r="C298" s="5"/>
      <c r="D298" s="1058" t="s">
        <v>46</v>
      </c>
      <c r="E298" s="1059">
        <f>602482.23</f>
        <v>602482.23</v>
      </c>
      <c r="F298" s="1060">
        <v>1144751.3799999999</v>
      </c>
      <c r="G298" s="1060">
        <v>474592</v>
      </c>
      <c r="H298" s="2212">
        <f>SUM(E298:G298)</f>
        <v>2221825.61</v>
      </c>
      <c r="I298" s="1061">
        <f>H298*0.2</f>
        <v>444365.12199999997</v>
      </c>
      <c r="J298" s="1061">
        <f>H298+I298</f>
        <v>2666190.7319999998</v>
      </c>
      <c r="K298" s="82"/>
      <c r="L298" s="82"/>
      <c r="M298" s="82"/>
      <c r="N298" s="82"/>
      <c r="O298" s="989"/>
      <c r="P298" s="82"/>
      <c r="Q298" s="82"/>
      <c r="R298" s="82"/>
      <c r="S298" s="82"/>
      <c r="T298" s="82"/>
      <c r="U298" s="84"/>
      <c r="V298" s="1064"/>
      <c r="W298" s="1064"/>
      <c r="X298" s="1064"/>
      <c r="Y298" s="1064"/>
      <c r="Z298" s="1064"/>
      <c r="AA298" s="1064"/>
      <c r="AB298" s="1064"/>
    </row>
    <row r="299" spans="1:30" ht="15.75" x14ac:dyDescent="0.25">
      <c r="C299" s="5"/>
      <c r="D299" s="651" t="s">
        <v>47</v>
      </c>
      <c r="E299" s="1059">
        <v>582479.03</v>
      </c>
      <c r="F299" s="1059">
        <v>697881.83</v>
      </c>
      <c r="G299" s="1059">
        <v>416200</v>
      </c>
      <c r="H299" s="2212">
        <f t="shared" ref="H299:H301" si="239">SUM(E299:G299)</f>
        <v>1696560.8599999999</v>
      </c>
      <c r="I299" s="1061">
        <f t="shared" ref="I299:I301" si="240">H299*0.2</f>
        <v>339312.17200000002</v>
      </c>
      <c r="J299" s="1061">
        <f t="shared" ref="J299:J301" si="241">H299+I299</f>
        <v>2035873.0319999999</v>
      </c>
      <c r="K299" s="82"/>
      <c r="L299" s="82"/>
      <c r="M299" s="82"/>
      <c r="N299" s="82"/>
      <c r="O299" s="989"/>
      <c r="P299" s="82"/>
      <c r="Q299" s="82"/>
      <c r="R299" s="82"/>
      <c r="S299" s="82"/>
      <c r="T299" s="82"/>
      <c r="U299" s="989"/>
      <c r="V299" s="82"/>
      <c r="W299" s="82"/>
      <c r="X299" s="82"/>
      <c r="Y299" s="82"/>
      <c r="Z299" s="82"/>
      <c r="AA299" s="82"/>
      <c r="AB299" s="82"/>
    </row>
    <row r="300" spans="1:30" ht="18" x14ac:dyDescent="0.25">
      <c r="A300" s="130"/>
      <c r="B300" s="130"/>
      <c r="C300" s="83"/>
      <c r="D300" s="701" t="s">
        <v>644</v>
      </c>
      <c r="E300" s="1062">
        <v>558846.54</v>
      </c>
      <c r="F300" s="1062">
        <v>0</v>
      </c>
      <c r="G300" s="1062">
        <f>150000-40792</f>
        <v>109208</v>
      </c>
      <c r="H300" s="2212">
        <f t="shared" si="239"/>
        <v>668054.54</v>
      </c>
      <c r="I300" s="1061">
        <f t="shared" si="240"/>
        <v>133610.90800000002</v>
      </c>
      <c r="J300" s="1061">
        <f t="shared" si="241"/>
        <v>801665.44800000009</v>
      </c>
      <c r="K300" s="82"/>
      <c r="L300" s="82"/>
      <c r="M300" s="82"/>
      <c r="N300" s="82"/>
      <c r="O300" s="989"/>
      <c r="P300" s="82"/>
      <c r="Q300" s="82"/>
      <c r="R300" s="82"/>
      <c r="S300" s="82"/>
      <c r="T300" s="82"/>
      <c r="U300" s="989"/>
      <c r="V300" s="82"/>
      <c r="W300" s="82"/>
      <c r="X300" s="82"/>
      <c r="Y300" s="82"/>
      <c r="Z300" s="82"/>
      <c r="AA300" s="82"/>
      <c r="AB300" s="82"/>
    </row>
    <row r="301" spans="1:30" ht="18.75" thickBot="1" x14ac:dyDescent="0.3">
      <c r="A301" s="131"/>
      <c r="B301" s="130"/>
      <c r="C301" s="83"/>
      <c r="D301" s="701" t="s">
        <v>49</v>
      </c>
      <c r="E301" s="1062"/>
      <c r="F301" s="1062">
        <v>160080</v>
      </c>
      <c r="G301" s="1062">
        <v>500000</v>
      </c>
      <c r="H301" s="2212">
        <f t="shared" si="239"/>
        <v>660080</v>
      </c>
      <c r="I301" s="1061">
        <f t="shared" si="240"/>
        <v>132016</v>
      </c>
      <c r="J301" s="1061">
        <f t="shared" si="241"/>
        <v>792096</v>
      </c>
      <c r="K301" s="82"/>
      <c r="L301" s="82"/>
      <c r="M301" s="82"/>
      <c r="N301" s="82"/>
      <c r="O301" s="989"/>
      <c r="P301" s="82"/>
      <c r="Q301" s="82"/>
      <c r="R301" s="82"/>
      <c r="S301" s="82"/>
      <c r="T301" s="82"/>
      <c r="U301" s="989"/>
      <c r="V301" s="82"/>
      <c r="W301" s="82"/>
      <c r="X301" s="82"/>
      <c r="Y301" s="82"/>
      <c r="Z301" s="82"/>
      <c r="AA301" s="82"/>
      <c r="AB301" s="82"/>
    </row>
    <row r="302" spans="1:30" ht="18.75" thickBot="1" x14ac:dyDescent="0.3">
      <c r="A302" s="130"/>
      <c r="B302" s="130"/>
      <c r="C302" s="83"/>
      <c r="D302" s="969" t="s">
        <v>297</v>
      </c>
      <c r="E302" s="1063">
        <f>SUM(E298:E301)</f>
        <v>1743807.8</v>
      </c>
      <c r="F302" s="1063">
        <f t="shared" ref="F302:J302" si="242">SUM(F298:F301)</f>
        <v>2002713.21</v>
      </c>
      <c r="G302" s="1063">
        <f t="shared" si="242"/>
        <v>1500000</v>
      </c>
      <c r="H302" s="2233">
        <f>SUM(H298:H301)</f>
        <v>5246521.01</v>
      </c>
      <c r="I302" s="1063">
        <f t="shared" si="242"/>
        <v>1049304.202</v>
      </c>
      <c r="J302" s="1066">
        <f t="shared" si="242"/>
        <v>6295825.2119999994</v>
      </c>
      <c r="K302" s="395"/>
      <c r="L302" s="395"/>
      <c r="M302" s="395"/>
      <c r="N302" s="395"/>
      <c r="O302" s="395"/>
      <c r="P302" s="395"/>
      <c r="Q302" s="395"/>
      <c r="R302" s="395"/>
      <c r="S302" s="395"/>
      <c r="T302" s="395"/>
      <c r="U302" s="989"/>
      <c r="V302" s="82"/>
      <c r="W302" s="82"/>
      <c r="X302" s="82"/>
      <c r="Y302" s="82"/>
      <c r="Z302" s="82"/>
      <c r="AA302" s="82"/>
      <c r="AB302" s="82"/>
    </row>
    <row r="303" spans="1:30" ht="18.75" thickBot="1" x14ac:dyDescent="0.3">
      <c r="A303" s="130"/>
      <c r="B303" s="130"/>
      <c r="C303" s="83"/>
      <c r="D303" s="5"/>
      <c r="E303" s="5"/>
      <c r="F303" s="5"/>
      <c r="G303" s="5"/>
      <c r="H303" s="5"/>
      <c r="I303" s="5"/>
      <c r="J303" s="5"/>
      <c r="K303" s="5"/>
      <c r="L303" s="5"/>
      <c r="M303" s="5"/>
      <c r="N303" s="5"/>
      <c r="O303" s="5"/>
      <c r="P303" s="5"/>
      <c r="Q303" s="5"/>
      <c r="R303" s="5"/>
      <c r="S303" s="5"/>
      <c r="T303" s="5"/>
      <c r="U303" s="395"/>
      <c r="V303" s="395"/>
      <c r="W303" s="395"/>
      <c r="X303" s="395"/>
      <c r="Y303" s="395"/>
      <c r="Z303" s="395"/>
      <c r="AA303" s="395"/>
      <c r="AB303" s="395"/>
    </row>
    <row r="304" spans="1:30" ht="19.5" thickTop="1" thickBot="1" x14ac:dyDescent="0.3">
      <c r="A304" s="130"/>
      <c r="B304" s="130"/>
      <c r="C304" s="83"/>
      <c r="D304" s="980" t="s">
        <v>856</v>
      </c>
      <c r="E304" s="409" t="s">
        <v>645</v>
      </c>
      <c r="F304" s="409" t="s">
        <v>646</v>
      </c>
      <c r="G304" s="409" t="s">
        <v>721</v>
      </c>
      <c r="H304" s="436"/>
      <c r="I304" s="2232"/>
      <c r="J304" s="1065"/>
      <c r="K304" s="1065"/>
      <c r="L304" s="1065"/>
      <c r="M304" s="1065"/>
      <c r="N304" s="1065"/>
      <c r="O304" s="905"/>
      <c r="P304" s="1065"/>
      <c r="Q304" s="1065"/>
      <c r="R304" s="1065"/>
      <c r="S304" s="1065"/>
      <c r="T304" s="1065"/>
      <c r="U304" s="5"/>
      <c r="V304" s="5"/>
      <c r="W304" s="5"/>
      <c r="X304" s="5"/>
      <c r="Y304" s="5"/>
      <c r="Z304" s="5"/>
      <c r="AA304" s="5"/>
      <c r="AB304" s="5"/>
    </row>
    <row r="305" spans="1:28" ht="19.5" thickTop="1" thickBot="1" x14ac:dyDescent="0.3">
      <c r="A305" s="130"/>
      <c r="B305" s="130"/>
      <c r="C305" s="83"/>
      <c r="D305" s="5"/>
      <c r="E305" s="5"/>
      <c r="F305" s="5"/>
      <c r="G305" s="5"/>
      <c r="H305" s="5"/>
      <c r="I305" s="5"/>
      <c r="J305" s="5"/>
      <c r="K305" s="5"/>
      <c r="L305" s="5"/>
      <c r="M305" s="5"/>
      <c r="N305" s="5"/>
      <c r="O305" s="5"/>
      <c r="P305" s="5"/>
      <c r="Q305" s="5"/>
      <c r="R305" s="5"/>
      <c r="S305" s="5"/>
      <c r="T305" s="5"/>
      <c r="U305" s="905"/>
      <c r="V305" s="1065"/>
      <c r="W305" s="1065"/>
      <c r="X305" s="1065"/>
      <c r="Y305" s="1065"/>
      <c r="Z305" s="1065"/>
      <c r="AA305" s="1065"/>
      <c r="AB305" s="5"/>
    </row>
    <row r="306" spans="1:28" ht="19.5" thickTop="1" thickBot="1" x14ac:dyDescent="0.3">
      <c r="A306" s="130"/>
      <c r="B306" s="130"/>
      <c r="C306" s="83"/>
      <c r="D306" s="980" t="s">
        <v>855</v>
      </c>
      <c r="E306" s="409">
        <f>E302/H302</f>
        <v>0.33237411928328486</v>
      </c>
      <c r="F306" s="409">
        <f>F302/H302</f>
        <v>0.3817221366659504</v>
      </c>
      <c r="G306" s="409">
        <f>G302/H302</f>
        <v>0.2859037440507648</v>
      </c>
      <c r="H306" s="436"/>
      <c r="I306" s="2232"/>
      <c r="J306" s="1065"/>
      <c r="K306" s="1065"/>
      <c r="L306" s="1065"/>
      <c r="M306" s="1065"/>
      <c r="N306" s="1065"/>
      <c r="O306" s="905"/>
      <c r="P306" s="1065"/>
      <c r="Q306" s="1065"/>
      <c r="R306" s="1065"/>
      <c r="S306" s="1065"/>
      <c r="T306" s="1065"/>
      <c r="U306" s="5"/>
      <c r="V306" s="5"/>
      <c r="W306" s="5"/>
      <c r="X306" s="5"/>
      <c r="Y306" s="5"/>
      <c r="Z306" s="5"/>
      <c r="AA306" s="5"/>
      <c r="AB306" s="5"/>
    </row>
    <row r="307" spans="1:28" ht="19.5" thickTop="1" thickBot="1" x14ac:dyDescent="0.3">
      <c r="A307" s="130"/>
      <c r="B307" s="130"/>
      <c r="C307" s="83"/>
      <c r="D307" s="413"/>
      <c r="E307" s="1091"/>
      <c r="F307" s="1091"/>
      <c r="G307" s="1091"/>
      <c r="H307" s="1091"/>
      <c r="I307" s="413"/>
      <c r="J307" s="1091"/>
      <c r="K307" s="1091"/>
      <c r="L307" s="1091"/>
      <c r="M307" s="1091"/>
      <c r="N307" s="413"/>
      <c r="O307" s="1100"/>
      <c r="P307" s="5"/>
      <c r="Q307" s="5"/>
      <c r="R307" s="5"/>
      <c r="S307" s="5"/>
      <c r="T307" s="5"/>
      <c r="U307" s="905"/>
      <c r="V307" s="1065"/>
      <c r="W307" s="1065"/>
      <c r="X307" s="1065"/>
      <c r="Y307" s="1065"/>
      <c r="Z307" s="1065"/>
      <c r="AA307" s="1065"/>
      <c r="AB307" s="5"/>
    </row>
    <row r="308" spans="1:28" ht="18" x14ac:dyDescent="0.25">
      <c r="A308" s="130"/>
      <c r="B308" s="130"/>
      <c r="C308" s="83"/>
      <c r="D308" s="24"/>
      <c r="E308" s="24"/>
      <c r="F308" s="24"/>
      <c r="G308" s="24"/>
      <c r="H308" s="24"/>
      <c r="I308" s="24"/>
      <c r="J308" s="24"/>
      <c r="K308" s="24"/>
      <c r="L308" s="24"/>
      <c r="M308" s="24"/>
      <c r="N308" s="24"/>
      <c r="O308" s="1671"/>
      <c r="P308" s="24"/>
      <c r="Q308" s="5"/>
      <c r="R308" s="5"/>
      <c r="S308" s="5"/>
      <c r="T308" s="5"/>
      <c r="U308" s="5"/>
      <c r="V308" s="5"/>
      <c r="W308" s="5"/>
      <c r="X308" s="5"/>
      <c r="Y308" s="5"/>
      <c r="Z308" s="5"/>
      <c r="AA308" s="5"/>
      <c r="AB308" s="5"/>
    </row>
    <row r="309" spans="1:28" ht="18" x14ac:dyDescent="0.25">
      <c r="A309" s="130"/>
      <c r="B309" s="130"/>
      <c r="C309" s="130"/>
      <c r="D309" s="5"/>
      <c r="E309" s="5"/>
      <c r="F309" s="5"/>
      <c r="G309" s="5"/>
      <c r="H309" s="5"/>
      <c r="I309" s="5"/>
      <c r="J309" s="5"/>
      <c r="K309" s="5"/>
      <c r="L309" s="5"/>
      <c r="M309" s="5"/>
      <c r="N309" s="5"/>
      <c r="O309" s="5"/>
      <c r="P309" s="5"/>
      <c r="Q309" s="5"/>
      <c r="R309" s="5"/>
      <c r="S309" s="5"/>
      <c r="T309" s="5"/>
      <c r="U309" s="5"/>
    </row>
    <row r="310" spans="1:28" ht="18" x14ac:dyDescent="0.25">
      <c r="A310" s="130"/>
      <c r="B310" s="130"/>
      <c r="C310" s="130"/>
      <c r="D310" s="989"/>
      <c r="E310" s="989"/>
      <c r="F310" s="989"/>
      <c r="G310" s="989"/>
      <c r="H310" s="989"/>
      <c r="I310" s="989"/>
      <c r="J310" s="989"/>
      <c r="K310" s="989"/>
      <c r="L310" s="989"/>
      <c r="M310" s="989"/>
      <c r="N310" s="989"/>
      <c r="O310" s="989"/>
      <c r="P310" s="989"/>
      <c r="Q310" s="989"/>
      <c r="R310" s="5"/>
      <c r="S310" s="5"/>
      <c r="T310" s="5"/>
      <c r="U310" s="5"/>
    </row>
    <row r="311" spans="1:28" ht="18" x14ac:dyDescent="0.25">
      <c r="A311" s="130"/>
      <c r="B311" s="130"/>
      <c r="C311" s="130"/>
      <c r="D311" s="989"/>
      <c r="E311" s="989"/>
      <c r="F311" s="989"/>
      <c r="G311" s="989"/>
      <c r="H311" s="989"/>
      <c r="I311" s="989"/>
      <c r="J311" s="989"/>
      <c r="K311" s="989"/>
      <c r="L311" s="989"/>
      <c r="M311" s="989"/>
      <c r="N311" s="989"/>
      <c r="O311" s="989"/>
      <c r="P311" s="989"/>
      <c r="Q311" s="989"/>
      <c r="R311" s="5"/>
      <c r="S311" s="5"/>
      <c r="T311" s="5"/>
      <c r="U311" s="5"/>
    </row>
    <row r="312" spans="1:28" ht="18" x14ac:dyDescent="0.25">
      <c r="A312" s="130"/>
      <c r="B312" s="130"/>
      <c r="C312" s="130"/>
      <c r="D312" s="989"/>
      <c r="E312" s="989"/>
      <c r="F312" s="989"/>
      <c r="G312" s="989"/>
      <c r="H312" s="989"/>
      <c r="I312" s="989"/>
      <c r="J312" s="989"/>
      <c r="K312" s="989"/>
      <c r="L312" s="989"/>
      <c r="M312" s="989"/>
      <c r="N312" s="989"/>
      <c r="O312" s="989"/>
      <c r="P312" s="989"/>
      <c r="Q312" s="989"/>
      <c r="R312" s="5"/>
      <c r="S312" s="5"/>
      <c r="T312" s="5"/>
      <c r="U312" s="5"/>
    </row>
    <row r="313" spans="1:28" ht="18" x14ac:dyDescent="0.25">
      <c r="A313" s="130"/>
      <c r="B313" s="130"/>
      <c r="C313" s="130"/>
      <c r="D313" s="989"/>
      <c r="E313" s="989"/>
      <c r="F313" s="989"/>
      <c r="G313" s="989"/>
      <c r="H313" s="989"/>
      <c r="I313" s="989"/>
      <c r="J313" s="989"/>
      <c r="K313" s="989"/>
      <c r="L313" s="989"/>
      <c r="M313" s="989"/>
      <c r="N313" s="989"/>
      <c r="O313" s="989"/>
      <c r="P313" s="989"/>
      <c r="Q313" s="989"/>
      <c r="R313" s="5"/>
      <c r="S313" s="5"/>
      <c r="T313" s="5"/>
      <c r="U313" s="5"/>
    </row>
    <row r="314" spans="1:28" ht="18" x14ac:dyDescent="0.25">
      <c r="A314" s="130"/>
      <c r="B314" s="130"/>
      <c r="C314" s="130"/>
      <c r="D314" s="989"/>
      <c r="E314" s="989"/>
      <c r="F314" s="989"/>
      <c r="G314" s="989"/>
      <c r="H314" s="989"/>
      <c r="I314" s="989"/>
      <c r="J314" s="989"/>
      <c r="K314" s="989"/>
      <c r="L314" s="989"/>
      <c r="M314" s="989"/>
      <c r="N314" s="989"/>
      <c r="O314" s="989"/>
      <c r="P314" s="989"/>
      <c r="Q314" s="989"/>
      <c r="R314" s="647"/>
      <c r="S314" s="5"/>
      <c r="T314" s="5"/>
      <c r="U314" s="5"/>
    </row>
    <row r="315" spans="1:28" ht="18" x14ac:dyDescent="0.25">
      <c r="A315" s="130"/>
      <c r="B315" s="130"/>
      <c r="C315" s="130"/>
      <c r="D315" s="989"/>
      <c r="E315" s="989"/>
      <c r="F315" s="989"/>
      <c r="G315" s="989"/>
      <c r="H315" s="989"/>
      <c r="I315" s="989"/>
      <c r="J315" s="989"/>
      <c r="K315" s="989"/>
      <c r="L315" s="989"/>
      <c r="M315" s="989"/>
      <c r="N315" s="989"/>
      <c r="O315" s="989"/>
      <c r="P315" s="989"/>
      <c r="Q315" s="989"/>
      <c r="R315" s="415"/>
      <c r="S315" s="415"/>
      <c r="T315" s="5"/>
      <c r="U315" s="5"/>
    </row>
    <row r="316" spans="1:28" ht="15.75" x14ac:dyDescent="0.25">
      <c r="D316" s="989"/>
      <c r="E316" s="989"/>
      <c r="F316" s="989"/>
      <c r="G316" s="989"/>
      <c r="H316" s="989"/>
      <c r="I316" s="989"/>
      <c r="J316" s="989"/>
      <c r="K316" s="989"/>
      <c r="L316" s="989"/>
      <c r="M316" s="989"/>
      <c r="N316" s="989"/>
      <c r="O316" s="989"/>
      <c r="P316" s="989"/>
      <c r="Q316" s="989"/>
      <c r="R316" s="415"/>
      <c r="S316" s="415"/>
      <c r="T316" s="5"/>
      <c r="U316" s="5"/>
    </row>
    <row r="317" spans="1:28" x14ac:dyDescent="0.2">
      <c r="D317" s="5"/>
      <c r="E317" s="5"/>
      <c r="F317" s="5"/>
      <c r="G317" s="5"/>
      <c r="H317" s="5"/>
      <c r="I317" s="5"/>
      <c r="J317" s="5"/>
      <c r="K317" s="5"/>
      <c r="L317" s="5"/>
      <c r="M317" s="5"/>
      <c r="N317" s="5"/>
      <c r="O317" s="5"/>
      <c r="P317" s="5"/>
      <c r="Q317" s="5"/>
      <c r="R317" s="415"/>
      <c r="S317" s="415"/>
      <c r="T317" s="5"/>
      <c r="U317" s="5"/>
    </row>
    <row r="318" spans="1:28" ht="15.75" x14ac:dyDescent="0.25">
      <c r="D318" s="1562"/>
      <c r="E318" s="1562"/>
      <c r="F318" s="1562"/>
      <c r="G318" s="1562"/>
      <c r="H318" s="1562"/>
      <c r="I318" s="1562"/>
      <c r="J318" s="1562"/>
      <c r="K318" s="1562"/>
      <c r="L318" s="1562"/>
      <c r="M318" s="1562"/>
      <c r="N318" s="1562"/>
      <c r="O318" s="1562"/>
      <c r="P318" s="989"/>
      <c r="Q318" s="5"/>
      <c r="R318" s="415"/>
      <c r="S318" s="415"/>
      <c r="T318" s="5"/>
      <c r="U318" s="5"/>
    </row>
    <row r="319" spans="1:28" ht="15.75" x14ac:dyDescent="0.25">
      <c r="D319" s="989"/>
      <c r="E319" s="989"/>
      <c r="F319" s="989"/>
      <c r="G319" s="989"/>
      <c r="H319" s="989"/>
      <c r="I319" s="989"/>
      <c r="J319" s="989"/>
      <c r="K319" s="989"/>
      <c r="L319" s="989"/>
      <c r="M319" s="989"/>
      <c r="N319" s="989"/>
      <c r="O319" s="989"/>
      <c r="P319" s="989"/>
      <c r="Q319" s="5"/>
      <c r="R319" s="5"/>
      <c r="S319" s="5"/>
      <c r="T319" s="5"/>
      <c r="U319" s="5"/>
    </row>
    <row r="320" spans="1:28" ht="15.75" x14ac:dyDescent="0.25">
      <c r="D320" s="989"/>
      <c r="E320" s="989"/>
      <c r="F320" s="989"/>
      <c r="G320" s="989"/>
      <c r="H320" s="989"/>
      <c r="I320" s="989"/>
      <c r="J320" s="989"/>
      <c r="K320" s="989"/>
      <c r="L320" s="989"/>
      <c r="M320" s="989"/>
      <c r="N320" s="989"/>
      <c r="O320" s="989"/>
      <c r="P320" s="989"/>
      <c r="Q320" s="5"/>
      <c r="R320" s="5"/>
      <c r="S320" s="5"/>
      <c r="T320" s="5"/>
      <c r="U320" s="5"/>
    </row>
    <row r="321" spans="4:21" ht="15.75" x14ac:dyDescent="0.25">
      <c r="D321" s="989"/>
      <c r="E321" s="989"/>
      <c r="F321" s="989"/>
      <c r="G321" s="989"/>
      <c r="H321" s="989"/>
      <c r="I321" s="989"/>
      <c r="J321" s="989"/>
      <c r="K321" s="989"/>
      <c r="L321" s="989"/>
      <c r="M321" s="989"/>
      <c r="N321" s="989"/>
      <c r="O321" s="989"/>
      <c r="P321" s="989"/>
      <c r="Q321" s="5"/>
      <c r="R321" s="5"/>
      <c r="S321" s="5"/>
      <c r="T321" s="5"/>
      <c r="U321" s="5"/>
    </row>
    <row r="322" spans="4:21" ht="15.75" x14ac:dyDescent="0.25">
      <c r="D322" s="989"/>
      <c r="E322" s="989"/>
      <c r="F322" s="989"/>
      <c r="G322" s="989"/>
      <c r="H322" s="989"/>
      <c r="I322" s="989"/>
      <c r="J322" s="989"/>
      <c r="K322" s="989"/>
      <c r="L322" s="989"/>
      <c r="M322" s="989"/>
      <c r="N322" s="989"/>
      <c r="O322" s="989"/>
      <c r="P322" s="989"/>
      <c r="Q322" s="5"/>
      <c r="R322" s="5"/>
      <c r="S322" s="5"/>
      <c r="T322" s="5"/>
      <c r="U322" s="5"/>
    </row>
    <row r="323" spans="4:21" x14ac:dyDescent="0.2">
      <c r="P323" s="5"/>
      <c r="Q323" s="5"/>
      <c r="R323" s="5"/>
      <c r="S323" s="5"/>
      <c r="T323" s="5"/>
      <c r="U323" s="5"/>
    </row>
    <row r="324" spans="4:21" x14ac:dyDescent="0.2">
      <c r="P324" s="5"/>
      <c r="Q324" s="5"/>
      <c r="R324" s="5"/>
      <c r="S324" s="5"/>
      <c r="T324" s="5"/>
      <c r="U324" s="5"/>
    </row>
    <row r="325" spans="4:21" x14ac:dyDescent="0.2">
      <c r="P325" s="5"/>
      <c r="Q325" s="5"/>
      <c r="R325" s="5"/>
      <c r="S325" s="5"/>
      <c r="T325" s="5"/>
      <c r="U325" s="5"/>
    </row>
    <row r="326" spans="4:21" x14ac:dyDescent="0.2">
      <c r="P326" s="5"/>
      <c r="Q326" s="5"/>
      <c r="R326" s="5"/>
      <c r="S326" s="5"/>
      <c r="T326" s="5"/>
      <c r="U326" s="5"/>
    </row>
    <row r="327" spans="4:21" x14ac:dyDescent="0.2">
      <c r="P327" s="5"/>
      <c r="Q327" s="5"/>
      <c r="R327" s="5"/>
      <c r="S327" s="5"/>
      <c r="T327" s="5"/>
      <c r="U327" s="5"/>
    </row>
    <row r="328" spans="4:21" x14ac:dyDescent="0.2">
      <c r="P328" s="5"/>
      <c r="Q328" s="5"/>
      <c r="R328" s="5"/>
      <c r="S328" s="5"/>
      <c r="T328" s="5"/>
      <c r="U328" s="5"/>
    </row>
    <row r="329" spans="4:21" x14ac:dyDescent="0.2">
      <c r="P329" s="5"/>
      <c r="Q329" s="5"/>
      <c r="R329" s="5"/>
      <c r="S329" s="5"/>
      <c r="T329" s="5"/>
      <c r="U329" s="5"/>
    </row>
    <row r="330" spans="4:21" x14ac:dyDescent="0.2">
      <c r="P330" s="5"/>
      <c r="Q330" s="5"/>
      <c r="R330" s="5"/>
      <c r="S330" s="5"/>
      <c r="T330" s="5"/>
      <c r="U330" s="5"/>
    </row>
    <row r="331" spans="4:21" x14ac:dyDescent="0.2">
      <c r="P331" s="5"/>
      <c r="Q331" s="5"/>
      <c r="R331" s="5"/>
      <c r="S331" s="5"/>
      <c r="T331" s="5"/>
      <c r="U331" s="5"/>
    </row>
    <row r="332" spans="4:21" x14ac:dyDescent="0.2">
      <c r="P332" s="5"/>
      <c r="Q332" s="5"/>
      <c r="R332" s="5"/>
      <c r="S332" s="5"/>
      <c r="T332" s="5"/>
      <c r="U332" s="5"/>
    </row>
    <row r="333" spans="4:21" x14ac:dyDescent="0.2">
      <c r="P333" s="5"/>
      <c r="Q333" s="5"/>
      <c r="R333" s="5"/>
      <c r="S333" s="5"/>
      <c r="T333" s="5"/>
      <c r="U333" s="5"/>
    </row>
    <row r="334" spans="4:21" x14ac:dyDescent="0.2">
      <c r="P334" s="5"/>
      <c r="Q334" s="5"/>
      <c r="R334" s="5"/>
      <c r="S334" s="5"/>
      <c r="T334" s="5"/>
      <c r="U334" s="5"/>
    </row>
    <row r="335" spans="4:21" x14ac:dyDescent="0.2">
      <c r="P335" s="5"/>
      <c r="Q335" s="5"/>
      <c r="R335" s="5"/>
      <c r="S335" s="5"/>
      <c r="T335" s="5"/>
      <c r="U335" s="5"/>
    </row>
    <row r="336" spans="4:21" x14ac:dyDescent="0.2">
      <c r="P336" s="5"/>
      <c r="Q336" s="5"/>
      <c r="R336" s="5"/>
      <c r="S336" s="5"/>
      <c r="T336" s="5"/>
      <c r="U336" s="5"/>
    </row>
    <row r="337" spans="16:21" x14ac:dyDescent="0.2">
      <c r="P337" s="5"/>
      <c r="Q337" s="5"/>
      <c r="R337" s="5"/>
      <c r="S337" s="5"/>
      <c r="T337" s="5"/>
      <c r="U337" s="5"/>
    </row>
    <row r="338" spans="16:21" x14ac:dyDescent="0.2">
      <c r="P338" s="5"/>
      <c r="Q338" s="5"/>
      <c r="R338" s="5"/>
      <c r="S338" s="5"/>
      <c r="T338" s="5"/>
      <c r="U338" s="5"/>
    </row>
    <row r="339" spans="16:21" x14ac:dyDescent="0.2">
      <c r="P339" s="5"/>
      <c r="Q339" s="5"/>
      <c r="R339" s="5"/>
      <c r="S339" s="5"/>
      <c r="T339" s="5"/>
      <c r="U339" s="5"/>
    </row>
    <row r="340" spans="16:21" x14ac:dyDescent="0.2">
      <c r="P340" s="5"/>
      <c r="Q340" s="5"/>
      <c r="R340" s="5"/>
      <c r="S340" s="5"/>
      <c r="T340" s="5"/>
      <c r="U340" s="5"/>
    </row>
    <row r="341" spans="16:21" x14ac:dyDescent="0.2">
      <c r="P341" s="5"/>
      <c r="Q341" s="5"/>
      <c r="R341" s="5"/>
      <c r="S341" s="5"/>
      <c r="T341" s="5"/>
      <c r="U341" s="5"/>
    </row>
    <row r="342" spans="16:21" x14ac:dyDescent="0.2">
      <c r="P342" s="5"/>
      <c r="Q342" s="5"/>
      <c r="R342" s="5"/>
      <c r="S342" s="5"/>
      <c r="T342" s="5"/>
      <c r="U342" s="5"/>
    </row>
    <row r="343" spans="16:21" x14ac:dyDescent="0.2">
      <c r="P343" s="5"/>
      <c r="Q343" s="5"/>
      <c r="R343" s="5"/>
      <c r="S343" s="5"/>
      <c r="T343" s="5"/>
      <c r="U343" s="5"/>
    </row>
    <row r="344" spans="16:21" x14ac:dyDescent="0.2">
      <c r="P344" s="5"/>
      <c r="Q344" s="5"/>
      <c r="R344" s="5"/>
      <c r="S344" s="5"/>
      <c r="T344" s="5"/>
      <c r="U344" s="5"/>
    </row>
    <row r="345" spans="16:21" x14ac:dyDescent="0.2">
      <c r="P345" s="5"/>
      <c r="Q345" s="5"/>
      <c r="R345" s="5"/>
      <c r="S345" s="5"/>
      <c r="T345" s="5"/>
      <c r="U345" s="5"/>
    </row>
    <row r="346" spans="16:21" x14ac:dyDescent="0.2">
      <c r="P346" s="5"/>
      <c r="Q346" s="5"/>
      <c r="R346" s="5"/>
      <c r="S346" s="5"/>
      <c r="T346" s="5"/>
      <c r="U346" s="5"/>
    </row>
    <row r="347" spans="16:21" x14ac:dyDescent="0.2">
      <c r="P347" s="5"/>
      <c r="Q347" s="5"/>
      <c r="R347" s="5"/>
      <c r="S347" s="5"/>
      <c r="T347" s="5"/>
      <c r="U347" s="5"/>
    </row>
    <row r="348" spans="16:21" x14ac:dyDescent="0.2">
      <c r="P348" s="5"/>
      <c r="Q348" s="5"/>
      <c r="R348" s="5"/>
      <c r="S348" s="5"/>
      <c r="T348" s="5"/>
      <c r="U348" s="5"/>
    </row>
    <row r="349" spans="16:21" x14ac:dyDescent="0.2">
      <c r="P349" s="5"/>
      <c r="Q349" s="5"/>
      <c r="R349" s="5"/>
      <c r="S349" s="5"/>
      <c r="T349" s="5"/>
      <c r="U349" s="5"/>
    </row>
    <row r="350" spans="16:21" x14ac:dyDescent="0.2">
      <c r="P350" s="5"/>
      <c r="Q350" s="5"/>
      <c r="R350" s="5"/>
      <c r="S350" s="5"/>
      <c r="T350" s="5"/>
      <c r="U350" s="5"/>
    </row>
    <row r="351" spans="16:21" x14ac:dyDescent="0.2">
      <c r="P351" s="5"/>
      <c r="Q351" s="5"/>
      <c r="R351" s="5"/>
      <c r="S351" s="5"/>
      <c r="T351" s="5"/>
      <c r="U351" s="5"/>
    </row>
    <row r="352" spans="16:21" x14ac:dyDescent="0.2">
      <c r="P352" s="5"/>
      <c r="Q352" s="5"/>
      <c r="R352" s="5"/>
      <c r="S352" s="5"/>
      <c r="T352" s="5"/>
      <c r="U352" s="5"/>
    </row>
    <row r="353" spans="16:21" x14ac:dyDescent="0.2">
      <c r="P353" s="5"/>
      <c r="Q353" s="5"/>
      <c r="R353" s="5"/>
      <c r="S353" s="5"/>
      <c r="T353" s="5"/>
      <c r="U353" s="5"/>
    </row>
    <row r="354" spans="16:21" x14ac:dyDescent="0.2">
      <c r="P354" s="5"/>
      <c r="Q354" s="5"/>
      <c r="R354" s="5"/>
      <c r="S354" s="5"/>
      <c r="T354" s="5"/>
      <c r="U354" s="5"/>
    </row>
    <row r="355" spans="16:21" x14ac:dyDescent="0.2">
      <c r="P355" s="5"/>
      <c r="Q355" s="5"/>
      <c r="R355" s="5"/>
      <c r="S355" s="5"/>
      <c r="T355" s="5"/>
      <c r="U355" s="5"/>
    </row>
    <row r="356" spans="16:21" x14ac:dyDescent="0.2">
      <c r="P356" s="5"/>
      <c r="Q356" s="5"/>
      <c r="R356" s="5"/>
      <c r="S356" s="5"/>
      <c r="T356" s="5"/>
      <c r="U356" s="5"/>
    </row>
    <row r="357" spans="16:21" x14ac:dyDescent="0.2">
      <c r="P357" s="5"/>
      <c r="Q357" s="5"/>
      <c r="R357" s="5"/>
      <c r="S357" s="5"/>
      <c r="T357" s="5"/>
      <c r="U357" s="5"/>
    </row>
    <row r="358" spans="16:21" x14ac:dyDescent="0.2">
      <c r="P358" s="5"/>
      <c r="Q358" s="5"/>
      <c r="R358" s="5"/>
      <c r="S358" s="5"/>
      <c r="T358" s="5"/>
      <c r="U358" s="5"/>
    </row>
    <row r="359" spans="16:21" x14ac:dyDescent="0.2">
      <c r="P359" s="5"/>
      <c r="Q359" s="5"/>
      <c r="R359" s="5"/>
      <c r="S359" s="5"/>
      <c r="T359" s="5"/>
      <c r="U359" s="5"/>
    </row>
    <row r="360" spans="16:21" x14ac:dyDescent="0.2">
      <c r="P360" s="5"/>
      <c r="Q360" s="5"/>
      <c r="R360" s="5"/>
      <c r="S360" s="5"/>
      <c r="T360" s="5"/>
      <c r="U360" s="5"/>
    </row>
    <row r="361" spans="16:21" x14ac:dyDescent="0.2">
      <c r="P361" s="5"/>
      <c r="Q361" s="5"/>
      <c r="R361" s="5"/>
      <c r="S361" s="5"/>
      <c r="T361" s="5"/>
      <c r="U361" s="5"/>
    </row>
    <row r="362" spans="16:21" x14ac:dyDescent="0.2">
      <c r="P362" s="5"/>
      <c r="Q362" s="5"/>
      <c r="R362" s="5"/>
      <c r="S362" s="5"/>
      <c r="T362" s="5"/>
      <c r="U362" s="5"/>
    </row>
    <row r="363" spans="16:21" x14ac:dyDescent="0.2">
      <c r="P363" s="5"/>
      <c r="Q363" s="5"/>
      <c r="R363" s="5"/>
      <c r="S363" s="5"/>
      <c r="T363" s="5"/>
      <c r="U363" s="5"/>
    </row>
    <row r="364" spans="16:21" x14ac:dyDescent="0.2">
      <c r="P364" s="5"/>
      <c r="Q364" s="5"/>
      <c r="R364" s="5"/>
      <c r="S364" s="5"/>
      <c r="T364" s="5"/>
      <c r="U364" s="5"/>
    </row>
    <row r="365" spans="16:21" x14ac:dyDescent="0.2">
      <c r="P365" s="5"/>
      <c r="Q365" s="5"/>
      <c r="R365" s="5"/>
      <c r="S365" s="5"/>
      <c r="T365" s="5"/>
      <c r="U365" s="5"/>
    </row>
    <row r="366" spans="16:21" x14ac:dyDescent="0.2">
      <c r="P366" s="5"/>
      <c r="Q366" s="5"/>
      <c r="R366" s="5"/>
      <c r="S366" s="5"/>
      <c r="T366" s="5"/>
      <c r="U366" s="5"/>
    </row>
    <row r="367" spans="16:21" x14ac:dyDescent="0.2">
      <c r="P367" s="5"/>
      <c r="Q367" s="5"/>
      <c r="R367" s="5"/>
      <c r="S367" s="5"/>
      <c r="T367" s="5"/>
      <c r="U367" s="5"/>
    </row>
    <row r="368" spans="16:21" x14ac:dyDescent="0.2">
      <c r="P368" s="5"/>
      <c r="Q368" s="5"/>
      <c r="R368" s="5"/>
      <c r="S368" s="5"/>
      <c r="T368" s="5"/>
      <c r="U368" s="5"/>
    </row>
    <row r="369" spans="16:21" x14ac:dyDescent="0.2">
      <c r="P369" s="5"/>
      <c r="Q369" s="5"/>
      <c r="R369" s="5"/>
      <c r="S369" s="5"/>
      <c r="T369" s="5"/>
      <c r="U369" s="5"/>
    </row>
    <row r="370" spans="16:21" x14ac:dyDescent="0.2">
      <c r="P370" s="5"/>
      <c r="Q370" s="5"/>
      <c r="R370" s="5"/>
      <c r="S370" s="5"/>
      <c r="T370" s="5"/>
      <c r="U370" s="5"/>
    </row>
    <row r="371" spans="16:21" x14ac:dyDescent="0.2">
      <c r="P371" s="5"/>
      <c r="Q371" s="5"/>
      <c r="R371" s="5"/>
      <c r="S371" s="5"/>
      <c r="T371" s="5"/>
      <c r="U371" s="5"/>
    </row>
    <row r="372" spans="16:21" x14ac:dyDescent="0.2">
      <c r="P372" s="5"/>
      <c r="Q372" s="5"/>
      <c r="R372" s="5"/>
      <c r="S372" s="5"/>
      <c r="T372" s="5"/>
      <c r="U372" s="5"/>
    </row>
    <row r="373" spans="16:21" x14ac:dyDescent="0.2">
      <c r="P373" s="5"/>
      <c r="Q373" s="5"/>
      <c r="R373" s="5"/>
      <c r="S373" s="5"/>
      <c r="T373" s="5"/>
      <c r="U373" s="5"/>
    </row>
    <row r="374" spans="16:21" x14ac:dyDescent="0.2">
      <c r="P374" s="5"/>
      <c r="Q374" s="5"/>
      <c r="R374" s="5"/>
      <c r="S374" s="5"/>
      <c r="T374" s="5"/>
      <c r="U374" s="5"/>
    </row>
    <row r="375" spans="16:21" x14ac:dyDescent="0.2">
      <c r="P375" s="5"/>
      <c r="Q375" s="5"/>
      <c r="R375" s="5"/>
      <c r="S375" s="5"/>
      <c r="T375" s="5"/>
      <c r="U375" s="5"/>
    </row>
    <row r="376" spans="16:21" x14ac:dyDescent="0.2">
      <c r="P376" s="5"/>
      <c r="Q376" s="5"/>
      <c r="R376" s="5"/>
      <c r="S376" s="5"/>
      <c r="T376" s="5"/>
      <c r="U376" s="5"/>
    </row>
    <row r="377" spans="16:21" x14ac:dyDescent="0.2">
      <c r="P377" s="5"/>
      <c r="Q377" s="5"/>
      <c r="R377" s="5"/>
      <c r="S377" s="5"/>
      <c r="T377" s="5"/>
      <c r="U377" s="5"/>
    </row>
    <row r="378" spans="16:21" x14ac:dyDescent="0.2">
      <c r="P378" s="5"/>
      <c r="Q378" s="5"/>
      <c r="R378" s="5"/>
      <c r="S378" s="5"/>
      <c r="T378" s="5"/>
      <c r="U378" s="5"/>
    </row>
    <row r="379" spans="16:21" x14ac:dyDescent="0.2">
      <c r="P379" s="5"/>
      <c r="Q379" s="5"/>
      <c r="R379" s="5"/>
      <c r="S379" s="5"/>
      <c r="T379" s="5"/>
      <c r="U379" s="5"/>
    </row>
    <row r="380" spans="16:21" x14ac:dyDescent="0.2">
      <c r="P380" s="5"/>
      <c r="Q380" s="5"/>
      <c r="R380" s="5"/>
      <c r="S380" s="5"/>
      <c r="T380" s="5"/>
      <c r="U380" s="5"/>
    </row>
    <row r="381" spans="16:21" x14ac:dyDescent="0.2">
      <c r="P381" s="5"/>
      <c r="Q381" s="5"/>
      <c r="R381" s="5"/>
      <c r="S381" s="5"/>
      <c r="T381" s="5"/>
      <c r="U381" s="5"/>
    </row>
    <row r="382" spans="16:21" x14ac:dyDescent="0.2">
      <c r="P382" s="5"/>
      <c r="Q382" s="5"/>
      <c r="R382" s="5"/>
      <c r="S382" s="5"/>
      <c r="T382" s="5"/>
      <c r="U382" s="5"/>
    </row>
    <row r="383" spans="16:21" x14ac:dyDescent="0.2">
      <c r="P383" s="5"/>
      <c r="Q383" s="5"/>
      <c r="R383" s="5"/>
      <c r="S383" s="5"/>
      <c r="T383" s="5"/>
      <c r="U383" s="5"/>
    </row>
    <row r="384" spans="16:21" x14ac:dyDescent="0.2">
      <c r="P384" s="5"/>
      <c r="Q384" s="5"/>
      <c r="R384" s="5"/>
      <c r="S384" s="5"/>
      <c r="T384" s="5"/>
      <c r="U384" s="5"/>
    </row>
    <row r="385" spans="16:21" x14ac:dyDescent="0.2">
      <c r="P385" s="5"/>
      <c r="Q385" s="5"/>
      <c r="R385" s="5"/>
      <c r="S385" s="5"/>
      <c r="T385" s="5"/>
      <c r="U385" s="5"/>
    </row>
    <row r="386" spans="16:21" x14ac:dyDescent="0.2">
      <c r="P386" s="5"/>
      <c r="Q386" s="5"/>
      <c r="R386" s="5"/>
      <c r="S386" s="5"/>
      <c r="T386" s="5"/>
      <c r="U386" s="5"/>
    </row>
    <row r="387" spans="16:21" x14ac:dyDescent="0.2">
      <c r="P387" s="5"/>
      <c r="Q387" s="5"/>
      <c r="R387" s="5"/>
      <c r="S387" s="5"/>
      <c r="T387" s="5"/>
      <c r="U387" s="5"/>
    </row>
    <row r="388" spans="16:21" x14ac:dyDescent="0.2">
      <c r="P388" s="5"/>
      <c r="Q388" s="5"/>
      <c r="R388" s="5"/>
      <c r="S388" s="5"/>
      <c r="T388" s="5"/>
      <c r="U388" s="5"/>
    </row>
    <row r="389" spans="16:21" x14ac:dyDescent="0.2">
      <c r="P389" s="5"/>
      <c r="Q389" s="5"/>
      <c r="R389" s="5"/>
      <c r="S389" s="5"/>
      <c r="T389" s="5"/>
      <c r="U389" s="5"/>
    </row>
    <row r="390" spans="16:21" x14ac:dyDescent="0.2">
      <c r="P390" s="5"/>
      <c r="Q390" s="5"/>
      <c r="R390" s="5"/>
      <c r="S390" s="5"/>
      <c r="T390" s="5"/>
      <c r="U390" s="5"/>
    </row>
    <row r="391" spans="16:21" x14ac:dyDescent="0.2">
      <c r="P391" s="5"/>
      <c r="Q391" s="5"/>
      <c r="R391" s="5"/>
      <c r="S391" s="5"/>
      <c r="T391" s="5"/>
      <c r="U391" s="5"/>
    </row>
    <row r="392" spans="16:21" x14ac:dyDescent="0.2">
      <c r="P392" s="5"/>
      <c r="Q392" s="5"/>
      <c r="R392" s="5"/>
      <c r="S392" s="5"/>
      <c r="T392" s="5"/>
      <c r="U392" s="5"/>
    </row>
    <row r="393" spans="16:21" x14ac:dyDescent="0.2">
      <c r="P393" s="5"/>
      <c r="Q393" s="5"/>
      <c r="R393" s="5"/>
      <c r="S393" s="5"/>
      <c r="T393" s="5"/>
      <c r="U393" s="5"/>
    </row>
    <row r="394" spans="16:21" x14ac:dyDescent="0.2">
      <c r="P394" s="5"/>
      <c r="Q394" s="5"/>
      <c r="R394" s="5"/>
      <c r="S394" s="5"/>
      <c r="T394" s="5"/>
      <c r="U394" s="5"/>
    </row>
    <row r="395" spans="16:21" x14ac:dyDescent="0.2">
      <c r="P395" s="5"/>
      <c r="Q395" s="5"/>
      <c r="R395" s="5"/>
      <c r="S395" s="5"/>
      <c r="T395" s="5"/>
      <c r="U395" s="5"/>
    </row>
    <row r="396" spans="16:21" x14ac:dyDescent="0.2">
      <c r="P396" s="5"/>
      <c r="Q396" s="5"/>
      <c r="R396" s="5"/>
      <c r="S396" s="5"/>
      <c r="T396" s="5"/>
      <c r="U396" s="5"/>
    </row>
    <row r="397" spans="16:21" x14ac:dyDescent="0.2">
      <c r="P397" s="5"/>
      <c r="Q397" s="5"/>
      <c r="R397" s="5"/>
      <c r="S397" s="5"/>
      <c r="T397" s="5"/>
      <c r="U397" s="5"/>
    </row>
    <row r="398" spans="16:21" x14ac:dyDescent="0.2">
      <c r="P398" s="5"/>
      <c r="Q398" s="5"/>
      <c r="R398" s="5"/>
      <c r="S398" s="5"/>
      <c r="T398" s="5"/>
      <c r="U398" s="5"/>
    </row>
    <row r="399" spans="16:21" x14ac:dyDescent="0.2">
      <c r="P399" s="5"/>
      <c r="Q399" s="5"/>
      <c r="R399" s="5"/>
      <c r="S399" s="5"/>
      <c r="T399" s="5"/>
      <c r="U399" s="5"/>
    </row>
    <row r="400" spans="16:21" x14ac:dyDescent="0.2">
      <c r="P400" s="5"/>
      <c r="Q400" s="5"/>
      <c r="R400" s="5"/>
      <c r="S400" s="5"/>
      <c r="T400" s="5"/>
      <c r="U400" s="5"/>
    </row>
    <row r="401" spans="16:21" x14ac:dyDescent="0.2">
      <c r="P401" s="5"/>
      <c r="Q401" s="5"/>
      <c r="R401" s="5"/>
      <c r="S401" s="5"/>
      <c r="T401" s="5"/>
      <c r="U401" s="5"/>
    </row>
    <row r="402" spans="16:21" x14ac:dyDescent="0.2">
      <c r="P402" s="5"/>
      <c r="Q402" s="5"/>
      <c r="R402" s="5"/>
      <c r="S402" s="5"/>
      <c r="T402" s="5"/>
      <c r="U402" s="5"/>
    </row>
    <row r="403" spans="16:21" x14ac:dyDescent="0.2">
      <c r="P403" s="5"/>
      <c r="Q403" s="5"/>
      <c r="R403" s="5"/>
      <c r="S403" s="5"/>
      <c r="T403" s="5"/>
      <c r="U403" s="5"/>
    </row>
    <row r="404" spans="16:21" x14ac:dyDescent="0.2">
      <c r="P404" s="5"/>
      <c r="Q404" s="5"/>
      <c r="R404" s="5"/>
      <c r="S404" s="5"/>
      <c r="T404" s="5"/>
      <c r="U404" s="5"/>
    </row>
    <row r="405" spans="16:21" x14ac:dyDescent="0.2">
      <c r="P405" s="5"/>
      <c r="Q405" s="5"/>
      <c r="R405" s="5"/>
      <c r="S405" s="5"/>
      <c r="T405" s="5"/>
      <c r="U405" s="5"/>
    </row>
    <row r="406" spans="16:21" x14ac:dyDescent="0.2">
      <c r="P406" s="5"/>
      <c r="Q406" s="5"/>
      <c r="R406" s="5"/>
      <c r="S406" s="5"/>
      <c r="T406" s="5"/>
      <c r="U406" s="5"/>
    </row>
    <row r="407" spans="16:21" x14ac:dyDescent="0.2">
      <c r="P407" s="5"/>
      <c r="Q407" s="5"/>
      <c r="R407" s="5"/>
      <c r="S407" s="5"/>
      <c r="T407" s="5"/>
      <c r="U407" s="5"/>
    </row>
    <row r="408" spans="16:21" x14ac:dyDescent="0.2">
      <c r="P408" s="5"/>
      <c r="Q408" s="5"/>
      <c r="R408" s="5"/>
      <c r="S408" s="5"/>
      <c r="T408" s="5"/>
      <c r="U408" s="5"/>
    </row>
    <row r="409" spans="16:21" x14ac:dyDescent="0.2">
      <c r="P409" s="5"/>
      <c r="Q409" s="5"/>
      <c r="R409" s="5"/>
      <c r="S409" s="5"/>
      <c r="T409" s="5"/>
      <c r="U409" s="5"/>
    </row>
    <row r="410" spans="16:21" x14ac:dyDescent="0.2">
      <c r="P410" s="5"/>
      <c r="Q410" s="5"/>
      <c r="R410" s="5"/>
      <c r="S410" s="5"/>
      <c r="T410" s="5"/>
      <c r="U410" s="5"/>
    </row>
    <row r="411" spans="16:21" x14ac:dyDescent="0.2">
      <c r="P411" s="5"/>
      <c r="Q411" s="5"/>
      <c r="R411" s="5"/>
      <c r="S411" s="5"/>
      <c r="T411" s="5"/>
      <c r="U411" s="5"/>
    </row>
    <row r="412" spans="16:21" x14ac:dyDescent="0.2">
      <c r="P412" s="5"/>
      <c r="Q412" s="5"/>
      <c r="R412" s="5"/>
      <c r="S412" s="5"/>
      <c r="T412" s="5"/>
      <c r="U412" s="5"/>
    </row>
    <row r="413" spans="16:21" x14ac:dyDescent="0.2">
      <c r="P413" s="5"/>
      <c r="Q413" s="5"/>
      <c r="R413" s="5"/>
      <c r="S413" s="5"/>
      <c r="T413" s="5"/>
      <c r="U413" s="5"/>
    </row>
    <row r="414" spans="16:21" x14ac:dyDescent="0.2">
      <c r="P414" s="5"/>
      <c r="Q414" s="5"/>
      <c r="R414" s="5"/>
      <c r="S414" s="5"/>
      <c r="T414" s="5"/>
      <c r="U414" s="5"/>
    </row>
    <row r="415" spans="16:21" x14ac:dyDescent="0.2">
      <c r="P415" s="5"/>
      <c r="Q415" s="5"/>
      <c r="R415" s="5"/>
      <c r="S415" s="5"/>
      <c r="T415" s="5"/>
      <c r="U415" s="5"/>
    </row>
    <row r="416" spans="16:21" x14ac:dyDescent="0.2">
      <c r="P416" s="5"/>
      <c r="Q416" s="5"/>
      <c r="R416" s="5"/>
      <c r="S416" s="5"/>
      <c r="T416" s="5"/>
      <c r="U416" s="5"/>
    </row>
    <row r="417" spans="16:21" x14ac:dyDescent="0.2">
      <c r="P417" s="5"/>
      <c r="Q417" s="5"/>
      <c r="R417" s="5"/>
      <c r="S417" s="5"/>
      <c r="T417" s="5"/>
      <c r="U417" s="5"/>
    </row>
    <row r="418" spans="16:21" x14ac:dyDescent="0.2">
      <c r="P418" s="5"/>
      <c r="Q418" s="5"/>
      <c r="R418" s="5"/>
      <c r="S418" s="5"/>
      <c r="T418" s="5"/>
      <c r="U418" s="5"/>
    </row>
    <row r="419" spans="16:21" x14ac:dyDescent="0.2">
      <c r="P419" s="5"/>
      <c r="Q419" s="5"/>
      <c r="R419" s="5"/>
      <c r="S419" s="5"/>
      <c r="T419" s="5"/>
      <c r="U419" s="5"/>
    </row>
    <row r="420" spans="16:21" x14ac:dyDescent="0.2">
      <c r="P420" s="5"/>
      <c r="Q420" s="5"/>
      <c r="R420" s="5"/>
      <c r="S420" s="5"/>
      <c r="T420" s="5"/>
      <c r="U420" s="5"/>
    </row>
    <row r="421" spans="16:21" x14ac:dyDescent="0.2">
      <c r="P421" s="5"/>
      <c r="Q421" s="5"/>
      <c r="R421" s="5"/>
      <c r="S421" s="5"/>
      <c r="T421" s="5"/>
      <c r="U421" s="5"/>
    </row>
    <row r="422" spans="16:21" x14ac:dyDescent="0.2">
      <c r="P422" s="5"/>
      <c r="Q422" s="5"/>
      <c r="R422" s="5"/>
      <c r="S422" s="5"/>
      <c r="T422" s="5"/>
      <c r="U422" s="5"/>
    </row>
    <row r="423" spans="16:21" x14ac:dyDescent="0.2">
      <c r="P423" s="5"/>
      <c r="Q423" s="5"/>
      <c r="R423" s="5"/>
      <c r="S423" s="5"/>
      <c r="T423" s="5"/>
      <c r="U423" s="5"/>
    </row>
    <row r="424" spans="16:21" x14ac:dyDescent="0.2">
      <c r="P424" s="5"/>
      <c r="Q424" s="5"/>
      <c r="R424" s="5"/>
      <c r="S424" s="5"/>
      <c r="T424" s="5"/>
      <c r="U424" s="5"/>
    </row>
    <row r="425" spans="16:21" x14ac:dyDescent="0.2">
      <c r="P425" s="5"/>
      <c r="Q425" s="5"/>
      <c r="R425" s="5"/>
      <c r="S425" s="5"/>
      <c r="T425" s="5"/>
      <c r="U425" s="5"/>
    </row>
    <row r="426" spans="16:21" x14ac:dyDescent="0.2">
      <c r="P426" s="5"/>
      <c r="Q426" s="5"/>
      <c r="R426" s="5"/>
      <c r="S426" s="5"/>
      <c r="T426" s="5"/>
      <c r="U426" s="5"/>
    </row>
    <row r="427" spans="16:21" x14ac:dyDescent="0.2">
      <c r="P427" s="5"/>
      <c r="Q427" s="5"/>
      <c r="R427" s="5"/>
      <c r="S427" s="5"/>
      <c r="T427" s="5"/>
      <c r="U427" s="5"/>
    </row>
    <row r="428" spans="16:21" x14ac:dyDescent="0.2">
      <c r="P428" s="5"/>
      <c r="Q428" s="5"/>
      <c r="R428" s="5"/>
      <c r="S428" s="5"/>
      <c r="T428" s="5"/>
      <c r="U428" s="5"/>
    </row>
    <row r="429" spans="16:21" x14ac:dyDescent="0.2">
      <c r="P429" s="5"/>
      <c r="Q429" s="5"/>
      <c r="R429" s="5"/>
      <c r="S429" s="5"/>
      <c r="T429" s="5"/>
      <c r="U429" s="5"/>
    </row>
    <row r="430" spans="16:21" x14ac:dyDescent="0.2">
      <c r="P430" s="5"/>
      <c r="Q430" s="5"/>
      <c r="R430" s="5"/>
      <c r="S430" s="5"/>
      <c r="T430" s="5"/>
      <c r="U430" s="5"/>
    </row>
    <row r="431" spans="16:21" x14ac:dyDescent="0.2">
      <c r="P431" s="5"/>
      <c r="Q431" s="5"/>
      <c r="R431" s="5"/>
      <c r="S431" s="5"/>
      <c r="T431" s="5"/>
      <c r="U431" s="5"/>
    </row>
    <row r="432" spans="16:21" x14ac:dyDescent="0.2">
      <c r="P432" s="5"/>
      <c r="Q432" s="5"/>
      <c r="R432" s="5"/>
      <c r="S432" s="5"/>
      <c r="T432" s="5"/>
      <c r="U432" s="5"/>
    </row>
    <row r="433" spans="16:21" x14ac:dyDescent="0.2">
      <c r="P433" s="5"/>
      <c r="Q433" s="5"/>
      <c r="R433" s="5"/>
      <c r="S433" s="5"/>
      <c r="T433" s="5"/>
      <c r="U433" s="5"/>
    </row>
    <row r="434" spans="16:21" x14ac:dyDescent="0.2">
      <c r="P434" s="5"/>
      <c r="Q434" s="5"/>
      <c r="R434" s="5"/>
      <c r="S434" s="5"/>
      <c r="T434" s="5"/>
      <c r="U434" s="5"/>
    </row>
    <row r="435" spans="16:21" x14ac:dyDescent="0.2">
      <c r="P435" s="5"/>
      <c r="Q435" s="5"/>
      <c r="R435" s="5"/>
      <c r="S435" s="5"/>
      <c r="T435" s="5"/>
      <c r="U435" s="5"/>
    </row>
    <row r="436" spans="16:21" x14ac:dyDescent="0.2">
      <c r="P436" s="5"/>
      <c r="Q436" s="5"/>
      <c r="R436" s="5"/>
      <c r="S436" s="5"/>
      <c r="T436" s="5"/>
      <c r="U436" s="5"/>
    </row>
    <row r="437" spans="16:21" x14ac:dyDescent="0.2">
      <c r="P437" s="5"/>
      <c r="Q437" s="5"/>
      <c r="R437" s="5"/>
      <c r="S437" s="5"/>
      <c r="T437" s="5"/>
      <c r="U437" s="5"/>
    </row>
    <row r="438" spans="16:21" x14ac:dyDescent="0.2">
      <c r="P438" s="5"/>
      <c r="Q438" s="5"/>
      <c r="R438" s="5"/>
      <c r="S438" s="5"/>
      <c r="T438" s="5"/>
      <c r="U438" s="5"/>
    </row>
    <row r="439" spans="16:21" x14ac:dyDescent="0.2">
      <c r="P439" s="5"/>
      <c r="Q439" s="5"/>
      <c r="R439" s="5"/>
      <c r="S439" s="5"/>
      <c r="T439" s="5"/>
      <c r="U439" s="5"/>
    </row>
    <row r="440" spans="16:21" x14ac:dyDescent="0.2">
      <c r="P440" s="5"/>
      <c r="Q440" s="5"/>
      <c r="R440" s="5"/>
      <c r="S440" s="5"/>
      <c r="T440" s="5"/>
      <c r="U440" s="5"/>
    </row>
    <row r="441" spans="16:21" x14ac:dyDescent="0.2">
      <c r="P441" s="5"/>
      <c r="Q441" s="5"/>
      <c r="R441" s="5"/>
      <c r="S441" s="5"/>
      <c r="T441" s="5"/>
      <c r="U441" s="5"/>
    </row>
    <row r="442" spans="16:21" x14ac:dyDescent="0.2">
      <c r="P442" s="5"/>
      <c r="Q442" s="5"/>
      <c r="R442" s="5"/>
      <c r="S442" s="5"/>
      <c r="T442" s="5"/>
      <c r="U442" s="5"/>
    </row>
    <row r="443" spans="16:21" x14ac:dyDescent="0.2">
      <c r="P443" s="5"/>
      <c r="Q443" s="5"/>
      <c r="R443" s="5"/>
      <c r="S443" s="5"/>
      <c r="T443" s="5"/>
      <c r="U443" s="5"/>
    </row>
    <row r="444" spans="16:21" x14ac:dyDescent="0.2">
      <c r="P444" s="5"/>
      <c r="Q444" s="5"/>
      <c r="R444" s="5"/>
      <c r="S444" s="5"/>
      <c r="T444" s="5"/>
      <c r="U444" s="5"/>
    </row>
    <row r="445" spans="16:21" x14ac:dyDescent="0.2">
      <c r="P445" s="5"/>
      <c r="Q445" s="5"/>
      <c r="R445" s="5"/>
      <c r="S445" s="5"/>
      <c r="T445" s="5"/>
      <c r="U445" s="5"/>
    </row>
    <row r="446" spans="16:21" x14ac:dyDescent="0.2">
      <c r="P446" s="5"/>
      <c r="Q446" s="5"/>
      <c r="R446" s="5"/>
      <c r="S446" s="5"/>
      <c r="T446" s="5"/>
      <c r="U446" s="5"/>
    </row>
    <row r="447" spans="16:21" x14ac:dyDescent="0.2">
      <c r="P447" s="5"/>
      <c r="Q447" s="5"/>
      <c r="R447" s="5"/>
      <c r="S447" s="5"/>
      <c r="T447" s="5"/>
      <c r="U447" s="5"/>
    </row>
    <row r="448" spans="16:21" x14ac:dyDescent="0.2">
      <c r="P448" s="5"/>
      <c r="Q448" s="5"/>
      <c r="R448" s="5"/>
      <c r="S448" s="5"/>
      <c r="T448" s="5"/>
      <c r="U448" s="5"/>
    </row>
    <row r="449" spans="16:21" x14ac:dyDescent="0.2">
      <c r="P449" s="5"/>
      <c r="Q449" s="5"/>
      <c r="R449" s="5"/>
      <c r="S449" s="5"/>
      <c r="T449" s="5"/>
      <c r="U449" s="5"/>
    </row>
    <row r="450" spans="16:21" x14ac:dyDescent="0.2">
      <c r="P450" s="5"/>
      <c r="Q450" s="5"/>
      <c r="R450" s="5"/>
      <c r="S450" s="5"/>
      <c r="T450" s="5"/>
      <c r="U450" s="5"/>
    </row>
    <row r="451" spans="16:21" x14ac:dyDescent="0.2">
      <c r="P451" s="5"/>
      <c r="Q451" s="5"/>
      <c r="R451" s="5"/>
      <c r="S451" s="5"/>
      <c r="T451" s="5"/>
      <c r="U451" s="5"/>
    </row>
    <row r="452" spans="16:21" x14ac:dyDescent="0.2">
      <c r="P452" s="5"/>
      <c r="Q452" s="5"/>
      <c r="R452" s="5"/>
      <c r="S452" s="5"/>
      <c r="T452" s="5"/>
      <c r="U452" s="5"/>
    </row>
    <row r="453" spans="16:21" x14ac:dyDescent="0.2">
      <c r="P453" s="5"/>
      <c r="Q453" s="5"/>
      <c r="R453" s="5"/>
      <c r="S453" s="5"/>
      <c r="T453" s="5"/>
      <c r="U453" s="5"/>
    </row>
    <row r="454" spans="16:21" x14ac:dyDescent="0.2">
      <c r="P454" s="5"/>
      <c r="Q454" s="5"/>
      <c r="R454" s="5"/>
      <c r="S454" s="5"/>
      <c r="T454" s="5"/>
      <c r="U454" s="5"/>
    </row>
    <row r="455" spans="16:21" x14ac:dyDescent="0.2">
      <c r="P455" s="5"/>
      <c r="Q455" s="5"/>
      <c r="R455" s="5"/>
      <c r="S455" s="5"/>
      <c r="T455" s="5"/>
      <c r="U455" s="5"/>
    </row>
  </sheetData>
  <mergeCells count="40">
    <mergeCell ref="D290:E290"/>
    <mergeCell ref="I290:J290"/>
    <mergeCell ref="D291:E291"/>
    <mergeCell ref="I291:J291"/>
    <mergeCell ref="C20:V20"/>
    <mergeCell ref="B271:D271"/>
    <mergeCell ref="C21:V21"/>
    <mergeCell ref="C23:V23"/>
    <mergeCell ref="B261:D261"/>
    <mergeCell ref="B64:D64"/>
    <mergeCell ref="B78:D78"/>
    <mergeCell ref="C24:V24"/>
    <mergeCell ref="C25:V25"/>
    <mergeCell ref="C26:V26"/>
    <mergeCell ref="B166:D166"/>
    <mergeCell ref="B174:D174"/>
    <mergeCell ref="B3:V3"/>
    <mergeCell ref="C4:V4"/>
    <mergeCell ref="C11:V11"/>
    <mergeCell ref="C12:V12"/>
    <mergeCell ref="C13:V13"/>
    <mergeCell ref="C14:V14"/>
    <mergeCell ref="C15:V15"/>
    <mergeCell ref="C17:V17"/>
    <mergeCell ref="C18:V18"/>
    <mergeCell ref="C19:V19"/>
    <mergeCell ref="C27:V27"/>
    <mergeCell ref="C29:V29"/>
    <mergeCell ref="C31:V31"/>
    <mergeCell ref="B34:V34"/>
    <mergeCell ref="B203:D203"/>
    <mergeCell ref="Z61:AE61"/>
    <mergeCell ref="B132:D132"/>
    <mergeCell ref="B95:D95"/>
    <mergeCell ref="B113:D113"/>
    <mergeCell ref="X61:Y61"/>
    <mergeCell ref="V61:W61"/>
    <mergeCell ref="P61:U61"/>
    <mergeCell ref="J61:O61"/>
    <mergeCell ref="E61:I61"/>
  </mergeCells>
  <conditionalFormatting sqref="C209">
    <cfRule type="duplicateValues" dxfId="7" priority="23"/>
  </conditionalFormatting>
  <conditionalFormatting sqref="C128">
    <cfRule type="duplicateValues" dxfId="6" priority="18"/>
  </conditionalFormatting>
  <conditionalFormatting sqref="C142">
    <cfRule type="duplicateValues" dxfId="5" priority="17"/>
  </conditionalFormatting>
  <conditionalFormatting sqref="C152">
    <cfRule type="duplicateValues" dxfId="4" priority="14"/>
  </conditionalFormatting>
  <conditionalFormatting sqref="C156">
    <cfRule type="duplicateValues" dxfId="3" priority="13"/>
  </conditionalFormatting>
  <conditionalFormatting sqref="C158">
    <cfRule type="duplicateValues" dxfId="2" priority="12"/>
  </conditionalFormatting>
  <conditionalFormatting sqref="C183">
    <cfRule type="duplicateValues" dxfId="1" priority="7"/>
  </conditionalFormatting>
  <pageMargins left="0.74791666666666701" right="0.74791666666666701" top="0.98402777777777795" bottom="0.98402777777777795" header="0.5" footer="0.5"/>
  <pageSetup scale="27" firstPageNumber="0" orientation="landscape" r:id="rId1"/>
  <headerFooter alignWithMargins="0">
    <oddHeader xml:space="preserve">&amp;C&amp;"Arial,Bold"Draft   PSP Workplans and Budgets 2015&amp;"Arial,Regular"
</oddHeader>
    <oddFooter>&amp;C&amp;12&amp;P&amp;R&amp;D&amp;T</oddFooter>
  </headerFooter>
  <rowBreaks count="14" manualBreakCount="14">
    <brk id="32" max="16383" man="1"/>
    <brk id="59" max="19" man="1"/>
    <brk id="76" max="19" man="1"/>
    <brk id="93" max="31" man="1"/>
    <brk id="112" max="30" man="1"/>
    <brk id="123" max="19" man="1"/>
    <brk id="148" max="19" man="1"/>
    <brk id="162" max="19" man="1"/>
    <brk id="171" max="19" man="1"/>
    <brk id="184" max="19" man="1"/>
    <brk id="201" max="19" man="1"/>
    <brk id="236" max="19" man="1"/>
    <brk id="257" max="19" man="1"/>
    <brk id="269" max="19" man="1"/>
  </rowBreaks>
  <colBreaks count="1" manualBreakCount="1">
    <brk id="13" min="1" max="299"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12"/>
  <sheetViews>
    <sheetView zoomScale="73" zoomScaleNormal="73" zoomScalePageLayoutView="85" workbookViewId="0">
      <selection activeCell="G193" sqref="G193"/>
    </sheetView>
  </sheetViews>
  <sheetFormatPr defaultRowHeight="12.75" x14ac:dyDescent="0.2"/>
  <cols>
    <col min="1" max="1" width="10.140625" style="85" customWidth="1"/>
    <col min="2" max="2" width="47.28515625" style="87" customWidth="1"/>
    <col min="3" max="3" width="41.7109375" style="85" customWidth="1"/>
    <col min="4" max="5" width="41.7109375" style="85" hidden="1" customWidth="1"/>
    <col min="6" max="6" width="21.7109375" style="175" customWidth="1"/>
    <col min="7" max="7" width="23.85546875" style="85" customWidth="1"/>
    <col min="8" max="8" width="16.42578125" style="85" hidden="1" customWidth="1"/>
    <col min="9" max="9" width="14.28515625" style="85" hidden="1" customWidth="1"/>
    <col min="10" max="10" width="17.140625" style="85" hidden="1" customWidth="1"/>
    <col min="11" max="11" width="16.28515625" style="85" hidden="1" customWidth="1"/>
    <col min="12" max="12" width="14.7109375" style="85" hidden="1" customWidth="1"/>
    <col min="13" max="13" width="38.85546875" style="85" hidden="1" customWidth="1"/>
    <col min="14" max="14" width="13.85546875" style="85" hidden="1" customWidth="1"/>
    <col min="15" max="15" width="18.5703125" style="85" hidden="1" customWidth="1"/>
    <col min="16" max="16" width="0" style="85" hidden="1" customWidth="1"/>
    <col min="17" max="258" width="9.140625" style="85"/>
    <col min="259" max="259" width="62.7109375" style="85" customWidth="1"/>
    <col min="260" max="260" width="41.7109375" style="85" customWidth="1"/>
    <col min="261" max="261" width="35.140625" style="85" customWidth="1"/>
    <col min="262" max="262" width="15.5703125" style="85" customWidth="1"/>
    <col min="263" max="514" width="9.140625" style="85"/>
    <col min="515" max="515" width="62.7109375" style="85" customWidth="1"/>
    <col min="516" max="516" width="41.7109375" style="85" customWidth="1"/>
    <col min="517" max="517" width="35.140625" style="85" customWidth="1"/>
    <col min="518" max="518" width="15.5703125" style="85" customWidth="1"/>
    <col min="519" max="770" width="9.140625" style="85"/>
    <col min="771" max="771" width="62.7109375" style="85" customWidth="1"/>
    <col min="772" max="772" width="41.7109375" style="85" customWidth="1"/>
    <col min="773" max="773" width="35.140625" style="85" customWidth="1"/>
    <col min="774" max="774" width="15.5703125" style="85" customWidth="1"/>
    <col min="775" max="1026" width="9.140625" style="85"/>
    <col min="1027" max="1027" width="62.7109375" style="85" customWidth="1"/>
    <col min="1028" max="1028" width="41.7109375" style="85" customWidth="1"/>
    <col min="1029" max="1029" width="35.140625" style="85" customWidth="1"/>
    <col min="1030" max="1030" width="15.5703125" style="85" customWidth="1"/>
    <col min="1031" max="1282" width="9.140625" style="85"/>
    <col min="1283" max="1283" width="62.7109375" style="85" customWidth="1"/>
    <col min="1284" max="1284" width="41.7109375" style="85" customWidth="1"/>
    <col min="1285" max="1285" width="35.140625" style="85" customWidth="1"/>
    <col min="1286" max="1286" width="15.5703125" style="85" customWidth="1"/>
    <col min="1287" max="1538" width="9.140625" style="85"/>
    <col min="1539" max="1539" width="62.7109375" style="85" customWidth="1"/>
    <col min="1540" max="1540" width="41.7109375" style="85" customWidth="1"/>
    <col min="1541" max="1541" width="35.140625" style="85" customWidth="1"/>
    <col min="1542" max="1542" width="15.5703125" style="85" customWidth="1"/>
    <col min="1543" max="1794" width="9.140625" style="85"/>
    <col min="1795" max="1795" width="62.7109375" style="85" customWidth="1"/>
    <col min="1796" max="1796" width="41.7109375" style="85" customWidth="1"/>
    <col min="1797" max="1797" width="35.140625" style="85" customWidth="1"/>
    <col min="1798" max="1798" width="15.5703125" style="85" customWidth="1"/>
    <col min="1799" max="2050" width="9.140625" style="85"/>
    <col min="2051" max="2051" width="62.7109375" style="85" customWidth="1"/>
    <col min="2052" max="2052" width="41.7109375" style="85" customWidth="1"/>
    <col min="2053" max="2053" width="35.140625" style="85" customWidth="1"/>
    <col min="2054" max="2054" width="15.5703125" style="85" customWidth="1"/>
    <col min="2055" max="2306" width="9.140625" style="85"/>
    <col min="2307" max="2307" width="62.7109375" style="85" customWidth="1"/>
    <col min="2308" max="2308" width="41.7109375" style="85" customWidth="1"/>
    <col min="2309" max="2309" width="35.140625" style="85" customWidth="1"/>
    <col min="2310" max="2310" width="15.5703125" style="85" customWidth="1"/>
    <col min="2311" max="2562" width="9.140625" style="85"/>
    <col min="2563" max="2563" width="62.7109375" style="85" customWidth="1"/>
    <col min="2564" max="2564" width="41.7109375" style="85" customWidth="1"/>
    <col min="2565" max="2565" width="35.140625" style="85" customWidth="1"/>
    <col min="2566" max="2566" width="15.5703125" style="85" customWidth="1"/>
    <col min="2567" max="2818" width="9.140625" style="85"/>
    <col min="2819" max="2819" width="62.7109375" style="85" customWidth="1"/>
    <col min="2820" max="2820" width="41.7109375" style="85" customWidth="1"/>
    <col min="2821" max="2821" width="35.140625" style="85" customWidth="1"/>
    <col min="2822" max="2822" width="15.5703125" style="85" customWidth="1"/>
    <col min="2823" max="3074" width="9.140625" style="85"/>
    <col min="3075" max="3075" width="62.7109375" style="85" customWidth="1"/>
    <col min="3076" max="3076" width="41.7109375" style="85" customWidth="1"/>
    <col min="3077" max="3077" width="35.140625" style="85" customWidth="1"/>
    <col min="3078" max="3078" width="15.5703125" style="85" customWidth="1"/>
    <col min="3079" max="3330" width="9.140625" style="85"/>
    <col min="3331" max="3331" width="62.7109375" style="85" customWidth="1"/>
    <col min="3332" max="3332" width="41.7109375" style="85" customWidth="1"/>
    <col min="3333" max="3333" width="35.140625" style="85" customWidth="1"/>
    <col min="3334" max="3334" width="15.5703125" style="85" customWidth="1"/>
    <col min="3335" max="3586" width="9.140625" style="85"/>
    <col min="3587" max="3587" width="62.7109375" style="85" customWidth="1"/>
    <col min="3588" max="3588" width="41.7109375" style="85" customWidth="1"/>
    <col min="3589" max="3589" width="35.140625" style="85" customWidth="1"/>
    <col min="3590" max="3590" width="15.5703125" style="85" customWidth="1"/>
    <col min="3591" max="3842" width="9.140625" style="85"/>
    <col min="3843" max="3843" width="62.7109375" style="85" customWidth="1"/>
    <col min="3844" max="3844" width="41.7109375" style="85" customWidth="1"/>
    <col min="3845" max="3845" width="35.140625" style="85" customWidth="1"/>
    <col min="3846" max="3846" width="15.5703125" style="85" customWidth="1"/>
    <col min="3847" max="4098" width="9.140625" style="85"/>
    <col min="4099" max="4099" width="62.7109375" style="85" customWidth="1"/>
    <col min="4100" max="4100" width="41.7109375" style="85" customWidth="1"/>
    <col min="4101" max="4101" width="35.140625" style="85" customWidth="1"/>
    <col min="4102" max="4102" width="15.5703125" style="85" customWidth="1"/>
    <col min="4103" max="4354" width="9.140625" style="85"/>
    <col min="4355" max="4355" width="62.7109375" style="85" customWidth="1"/>
    <col min="4356" max="4356" width="41.7109375" style="85" customWidth="1"/>
    <col min="4357" max="4357" width="35.140625" style="85" customWidth="1"/>
    <col min="4358" max="4358" width="15.5703125" style="85" customWidth="1"/>
    <col min="4359" max="4610" width="9.140625" style="85"/>
    <col min="4611" max="4611" width="62.7109375" style="85" customWidth="1"/>
    <col min="4612" max="4612" width="41.7109375" style="85" customWidth="1"/>
    <col min="4613" max="4613" width="35.140625" style="85" customWidth="1"/>
    <col min="4614" max="4614" width="15.5703125" style="85" customWidth="1"/>
    <col min="4615" max="4866" width="9.140625" style="85"/>
    <col min="4867" max="4867" width="62.7109375" style="85" customWidth="1"/>
    <col min="4868" max="4868" width="41.7109375" style="85" customWidth="1"/>
    <col min="4869" max="4869" width="35.140625" style="85" customWidth="1"/>
    <col min="4870" max="4870" width="15.5703125" style="85" customWidth="1"/>
    <col min="4871" max="5122" width="9.140625" style="85"/>
    <col min="5123" max="5123" width="62.7109375" style="85" customWidth="1"/>
    <col min="5124" max="5124" width="41.7109375" style="85" customWidth="1"/>
    <col min="5125" max="5125" width="35.140625" style="85" customWidth="1"/>
    <col min="5126" max="5126" width="15.5703125" style="85" customWidth="1"/>
    <col min="5127" max="5378" width="9.140625" style="85"/>
    <col min="5379" max="5379" width="62.7109375" style="85" customWidth="1"/>
    <col min="5380" max="5380" width="41.7109375" style="85" customWidth="1"/>
    <col min="5381" max="5381" width="35.140625" style="85" customWidth="1"/>
    <col min="5382" max="5382" width="15.5703125" style="85" customWidth="1"/>
    <col min="5383" max="5634" width="9.140625" style="85"/>
    <col min="5635" max="5635" width="62.7109375" style="85" customWidth="1"/>
    <col min="5636" max="5636" width="41.7109375" style="85" customWidth="1"/>
    <col min="5637" max="5637" width="35.140625" style="85" customWidth="1"/>
    <col min="5638" max="5638" width="15.5703125" style="85" customWidth="1"/>
    <col min="5639" max="5890" width="9.140625" style="85"/>
    <col min="5891" max="5891" width="62.7109375" style="85" customWidth="1"/>
    <col min="5892" max="5892" width="41.7109375" style="85" customWidth="1"/>
    <col min="5893" max="5893" width="35.140625" style="85" customWidth="1"/>
    <col min="5894" max="5894" width="15.5703125" style="85" customWidth="1"/>
    <col min="5895" max="6146" width="9.140625" style="85"/>
    <col min="6147" max="6147" width="62.7109375" style="85" customWidth="1"/>
    <col min="6148" max="6148" width="41.7109375" style="85" customWidth="1"/>
    <col min="6149" max="6149" width="35.140625" style="85" customWidth="1"/>
    <col min="6150" max="6150" width="15.5703125" style="85" customWidth="1"/>
    <col min="6151" max="6402" width="9.140625" style="85"/>
    <col min="6403" max="6403" width="62.7109375" style="85" customWidth="1"/>
    <col min="6404" max="6404" width="41.7109375" style="85" customWidth="1"/>
    <col min="6405" max="6405" width="35.140625" style="85" customWidth="1"/>
    <col min="6406" max="6406" width="15.5703125" style="85" customWidth="1"/>
    <col min="6407" max="6658" width="9.140625" style="85"/>
    <col min="6659" max="6659" width="62.7109375" style="85" customWidth="1"/>
    <col min="6660" max="6660" width="41.7109375" style="85" customWidth="1"/>
    <col min="6661" max="6661" width="35.140625" style="85" customWidth="1"/>
    <col min="6662" max="6662" width="15.5703125" style="85" customWidth="1"/>
    <col min="6663" max="6914" width="9.140625" style="85"/>
    <col min="6915" max="6915" width="62.7109375" style="85" customWidth="1"/>
    <col min="6916" max="6916" width="41.7109375" style="85" customWidth="1"/>
    <col min="6917" max="6917" width="35.140625" style="85" customWidth="1"/>
    <col min="6918" max="6918" width="15.5703125" style="85" customWidth="1"/>
    <col min="6919" max="7170" width="9.140625" style="85"/>
    <col min="7171" max="7171" width="62.7109375" style="85" customWidth="1"/>
    <col min="7172" max="7172" width="41.7109375" style="85" customWidth="1"/>
    <col min="7173" max="7173" width="35.140625" style="85" customWidth="1"/>
    <col min="7174" max="7174" width="15.5703125" style="85" customWidth="1"/>
    <col min="7175" max="7426" width="9.140625" style="85"/>
    <col min="7427" max="7427" width="62.7109375" style="85" customWidth="1"/>
    <col min="7428" max="7428" width="41.7109375" style="85" customWidth="1"/>
    <col min="7429" max="7429" width="35.140625" style="85" customWidth="1"/>
    <col min="7430" max="7430" width="15.5703125" style="85" customWidth="1"/>
    <col min="7431" max="7682" width="9.140625" style="85"/>
    <col min="7683" max="7683" width="62.7109375" style="85" customWidth="1"/>
    <col min="7684" max="7684" width="41.7109375" style="85" customWidth="1"/>
    <col min="7685" max="7685" width="35.140625" style="85" customWidth="1"/>
    <col min="7686" max="7686" width="15.5703125" style="85" customWidth="1"/>
    <col min="7687" max="7938" width="9.140625" style="85"/>
    <col min="7939" max="7939" width="62.7109375" style="85" customWidth="1"/>
    <col min="7940" max="7940" width="41.7109375" style="85" customWidth="1"/>
    <col min="7941" max="7941" width="35.140625" style="85" customWidth="1"/>
    <col min="7942" max="7942" width="15.5703125" style="85" customWidth="1"/>
    <col min="7943" max="8194" width="9.140625" style="85"/>
    <col min="8195" max="8195" width="62.7109375" style="85" customWidth="1"/>
    <col min="8196" max="8196" width="41.7109375" style="85" customWidth="1"/>
    <col min="8197" max="8197" width="35.140625" style="85" customWidth="1"/>
    <col min="8198" max="8198" width="15.5703125" style="85" customWidth="1"/>
    <col min="8199" max="8450" width="9.140625" style="85"/>
    <col min="8451" max="8451" width="62.7109375" style="85" customWidth="1"/>
    <col min="8452" max="8452" width="41.7109375" style="85" customWidth="1"/>
    <col min="8453" max="8453" width="35.140625" style="85" customWidth="1"/>
    <col min="8454" max="8454" width="15.5703125" style="85" customWidth="1"/>
    <col min="8455" max="8706" width="9.140625" style="85"/>
    <col min="8707" max="8707" width="62.7109375" style="85" customWidth="1"/>
    <col min="8708" max="8708" width="41.7109375" style="85" customWidth="1"/>
    <col min="8709" max="8709" width="35.140625" style="85" customWidth="1"/>
    <col min="8710" max="8710" width="15.5703125" style="85" customWidth="1"/>
    <col min="8711" max="8962" width="9.140625" style="85"/>
    <col min="8963" max="8963" width="62.7109375" style="85" customWidth="1"/>
    <col min="8964" max="8964" width="41.7109375" style="85" customWidth="1"/>
    <col min="8965" max="8965" width="35.140625" style="85" customWidth="1"/>
    <col min="8966" max="8966" width="15.5703125" style="85" customWidth="1"/>
    <col min="8967" max="9218" width="9.140625" style="85"/>
    <col min="9219" max="9219" width="62.7109375" style="85" customWidth="1"/>
    <col min="9220" max="9220" width="41.7109375" style="85" customWidth="1"/>
    <col min="9221" max="9221" width="35.140625" style="85" customWidth="1"/>
    <col min="9222" max="9222" width="15.5703125" style="85" customWidth="1"/>
    <col min="9223" max="9474" width="9.140625" style="85"/>
    <col min="9475" max="9475" width="62.7109375" style="85" customWidth="1"/>
    <col min="9476" max="9476" width="41.7109375" style="85" customWidth="1"/>
    <col min="9477" max="9477" width="35.140625" style="85" customWidth="1"/>
    <col min="9478" max="9478" width="15.5703125" style="85" customWidth="1"/>
    <col min="9479" max="9730" width="9.140625" style="85"/>
    <col min="9731" max="9731" width="62.7109375" style="85" customWidth="1"/>
    <col min="9732" max="9732" width="41.7109375" style="85" customWidth="1"/>
    <col min="9733" max="9733" width="35.140625" style="85" customWidth="1"/>
    <col min="9734" max="9734" width="15.5703125" style="85" customWidth="1"/>
    <col min="9735" max="9986" width="9.140625" style="85"/>
    <col min="9987" max="9987" width="62.7109375" style="85" customWidth="1"/>
    <col min="9988" max="9988" width="41.7109375" style="85" customWidth="1"/>
    <col min="9989" max="9989" width="35.140625" style="85" customWidth="1"/>
    <col min="9990" max="9990" width="15.5703125" style="85" customWidth="1"/>
    <col min="9991" max="10242" width="9.140625" style="85"/>
    <col min="10243" max="10243" width="62.7109375" style="85" customWidth="1"/>
    <col min="10244" max="10244" width="41.7109375" style="85" customWidth="1"/>
    <col min="10245" max="10245" width="35.140625" style="85" customWidth="1"/>
    <col min="10246" max="10246" width="15.5703125" style="85" customWidth="1"/>
    <col min="10247" max="10498" width="9.140625" style="85"/>
    <col min="10499" max="10499" width="62.7109375" style="85" customWidth="1"/>
    <col min="10500" max="10500" width="41.7109375" style="85" customWidth="1"/>
    <col min="10501" max="10501" width="35.140625" style="85" customWidth="1"/>
    <col min="10502" max="10502" width="15.5703125" style="85" customWidth="1"/>
    <col min="10503" max="10754" width="9.140625" style="85"/>
    <col min="10755" max="10755" width="62.7109375" style="85" customWidth="1"/>
    <col min="10756" max="10756" width="41.7109375" style="85" customWidth="1"/>
    <col min="10757" max="10757" width="35.140625" style="85" customWidth="1"/>
    <col min="10758" max="10758" width="15.5703125" style="85" customWidth="1"/>
    <col min="10759" max="11010" width="9.140625" style="85"/>
    <col min="11011" max="11011" width="62.7109375" style="85" customWidth="1"/>
    <col min="11012" max="11012" width="41.7109375" style="85" customWidth="1"/>
    <col min="11013" max="11013" width="35.140625" style="85" customWidth="1"/>
    <col min="11014" max="11014" width="15.5703125" style="85" customWidth="1"/>
    <col min="11015" max="11266" width="9.140625" style="85"/>
    <col min="11267" max="11267" width="62.7109375" style="85" customWidth="1"/>
    <col min="11268" max="11268" width="41.7109375" style="85" customWidth="1"/>
    <col min="11269" max="11269" width="35.140625" style="85" customWidth="1"/>
    <col min="11270" max="11270" width="15.5703125" style="85" customWidth="1"/>
    <col min="11271" max="11522" width="9.140625" style="85"/>
    <col min="11523" max="11523" width="62.7109375" style="85" customWidth="1"/>
    <col min="11524" max="11524" width="41.7109375" style="85" customWidth="1"/>
    <col min="11525" max="11525" width="35.140625" style="85" customWidth="1"/>
    <col min="11526" max="11526" width="15.5703125" style="85" customWidth="1"/>
    <col min="11527" max="11778" width="9.140625" style="85"/>
    <col min="11779" max="11779" width="62.7109375" style="85" customWidth="1"/>
    <col min="11780" max="11780" width="41.7109375" style="85" customWidth="1"/>
    <col min="11781" max="11781" width="35.140625" style="85" customWidth="1"/>
    <col min="11782" max="11782" width="15.5703125" style="85" customWidth="1"/>
    <col min="11783" max="12034" width="9.140625" style="85"/>
    <col min="12035" max="12035" width="62.7109375" style="85" customWidth="1"/>
    <col min="12036" max="12036" width="41.7109375" style="85" customWidth="1"/>
    <col min="12037" max="12037" width="35.140625" style="85" customWidth="1"/>
    <col min="12038" max="12038" width="15.5703125" style="85" customWidth="1"/>
    <col min="12039" max="12290" width="9.140625" style="85"/>
    <col min="12291" max="12291" width="62.7109375" style="85" customWidth="1"/>
    <col min="12292" max="12292" width="41.7109375" style="85" customWidth="1"/>
    <col min="12293" max="12293" width="35.140625" style="85" customWidth="1"/>
    <col min="12294" max="12294" width="15.5703125" style="85" customWidth="1"/>
    <col min="12295" max="12546" width="9.140625" style="85"/>
    <col min="12547" max="12547" width="62.7109375" style="85" customWidth="1"/>
    <col min="12548" max="12548" width="41.7109375" style="85" customWidth="1"/>
    <col min="12549" max="12549" width="35.140625" style="85" customWidth="1"/>
    <col min="12550" max="12550" width="15.5703125" style="85" customWidth="1"/>
    <col min="12551" max="12802" width="9.140625" style="85"/>
    <col min="12803" max="12803" width="62.7109375" style="85" customWidth="1"/>
    <col min="12804" max="12804" width="41.7109375" style="85" customWidth="1"/>
    <col min="12805" max="12805" width="35.140625" style="85" customWidth="1"/>
    <col min="12806" max="12806" width="15.5703125" style="85" customWidth="1"/>
    <col min="12807" max="13058" width="9.140625" style="85"/>
    <col min="13059" max="13059" width="62.7109375" style="85" customWidth="1"/>
    <col min="13060" max="13060" width="41.7109375" style="85" customWidth="1"/>
    <col min="13061" max="13061" width="35.140625" style="85" customWidth="1"/>
    <col min="13062" max="13062" width="15.5703125" style="85" customWidth="1"/>
    <col min="13063" max="13314" width="9.140625" style="85"/>
    <col min="13315" max="13315" width="62.7109375" style="85" customWidth="1"/>
    <col min="13316" max="13316" width="41.7109375" style="85" customWidth="1"/>
    <col min="13317" max="13317" width="35.140625" style="85" customWidth="1"/>
    <col min="13318" max="13318" width="15.5703125" style="85" customWidth="1"/>
    <col min="13319" max="13570" width="9.140625" style="85"/>
    <col min="13571" max="13571" width="62.7109375" style="85" customWidth="1"/>
    <col min="13572" max="13572" width="41.7109375" style="85" customWidth="1"/>
    <col min="13573" max="13573" width="35.140625" style="85" customWidth="1"/>
    <col min="13574" max="13574" width="15.5703125" style="85" customWidth="1"/>
    <col min="13575" max="13826" width="9.140625" style="85"/>
    <col min="13827" max="13827" width="62.7109375" style="85" customWidth="1"/>
    <col min="13828" max="13828" width="41.7109375" style="85" customWidth="1"/>
    <col min="13829" max="13829" width="35.140625" style="85" customWidth="1"/>
    <col min="13830" max="13830" width="15.5703125" style="85" customWidth="1"/>
    <col min="13831" max="14082" width="9.140625" style="85"/>
    <col min="14083" max="14083" width="62.7109375" style="85" customWidth="1"/>
    <col min="14084" max="14084" width="41.7109375" style="85" customWidth="1"/>
    <col min="14085" max="14085" width="35.140625" style="85" customWidth="1"/>
    <col min="14086" max="14086" width="15.5703125" style="85" customWidth="1"/>
    <col min="14087" max="14338" width="9.140625" style="85"/>
    <col min="14339" max="14339" width="62.7109375" style="85" customWidth="1"/>
    <col min="14340" max="14340" width="41.7109375" style="85" customWidth="1"/>
    <col min="14341" max="14341" width="35.140625" style="85" customWidth="1"/>
    <col min="14342" max="14342" width="15.5703125" style="85" customWidth="1"/>
    <col min="14343" max="14594" width="9.140625" style="85"/>
    <col min="14595" max="14595" width="62.7109375" style="85" customWidth="1"/>
    <col min="14596" max="14596" width="41.7109375" style="85" customWidth="1"/>
    <col min="14597" max="14597" width="35.140625" style="85" customWidth="1"/>
    <col min="14598" max="14598" width="15.5703125" style="85" customWidth="1"/>
    <col min="14599" max="14850" width="9.140625" style="85"/>
    <col min="14851" max="14851" width="62.7109375" style="85" customWidth="1"/>
    <col min="14852" max="14852" width="41.7109375" style="85" customWidth="1"/>
    <col min="14853" max="14853" width="35.140625" style="85" customWidth="1"/>
    <col min="14854" max="14854" width="15.5703125" style="85" customWidth="1"/>
    <col min="14855" max="15106" width="9.140625" style="85"/>
    <col min="15107" max="15107" width="62.7109375" style="85" customWidth="1"/>
    <col min="15108" max="15108" width="41.7109375" style="85" customWidth="1"/>
    <col min="15109" max="15109" width="35.140625" style="85" customWidth="1"/>
    <col min="15110" max="15110" width="15.5703125" style="85" customWidth="1"/>
    <col min="15111" max="15362" width="9.140625" style="85"/>
    <col min="15363" max="15363" width="62.7109375" style="85" customWidth="1"/>
    <col min="15364" max="15364" width="41.7109375" style="85" customWidth="1"/>
    <col min="15365" max="15365" width="35.140625" style="85" customWidth="1"/>
    <col min="15366" max="15366" width="15.5703125" style="85" customWidth="1"/>
    <col min="15367" max="15618" width="9.140625" style="85"/>
    <col min="15619" max="15619" width="62.7109375" style="85" customWidth="1"/>
    <col min="15620" max="15620" width="41.7109375" style="85" customWidth="1"/>
    <col min="15621" max="15621" width="35.140625" style="85" customWidth="1"/>
    <col min="15622" max="15622" width="15.5703125" style="85" customWidth="1"/>
    <col min="15623" max="15874" width="9.140625" style="85"/>
    <col min="15875" max="15875" width="62.7109375" style="85" customWidth="1"/>
    <col min="15876" max="15876" width="41.7109375" style="85" customWidth="1"/>
    <col min="15877" max="15877" width="35.140625" style="85" customWidth="1"/>
    <col min="15878" max="15878" width="15.5703125" style="85" customWidth="1"/>
    <col min="15879" max="16130" width="9.140625" style="85"/>
    <col min="16131" max="16131" width="62.7109375" style="85" customWidth="1"/>
    <col min="16132" max="16132" width="41.7109375" style="85" customWidth="1"/>
    <col min="16133" max="16133" width="35.140625" style="85" customWidth="1"/>
    <col min="16134" max="16134" width="15.5703125" style="85" customWidth="1"/>
    <col min="16135" max="16384" width="9.140625" style="85"/>
  </cols>
  <sheetData>
    <row r="1" spans="1:13" ht="15" x14ac:dyDescent="0.25">
      <c r="A1" s="657"/>
      <c r="B1" s="658" t="s">
        <v>298</v>
      </c>
      <c r="C1" s="2762" t="s">
        <v>299</v>
      </c>
      <c r="D1" s="2762"/>
      <c r="E1" s="2763"/>
      <c r="F1" s="659"/>
      <c r="G1" s="660"/>
    </row>
    <row r="2" spans="1:13" s="86" customFormat="1" ht="12.75" customHeight="1" x14ac:dyDescent="0.25">
      <c r="A2" s="661"/>
      <c r="B2" s="662" t="s">
        <v>300</v>
      </c>
      <c r="C2" s="663" t="s">
        <v>301</v>
      </c>
      <c r="D2" s="1010"/>
      <c r="E2" s="663"/>
      <c r="F2" s="664" t="s">
        <v>398</v>
      </c>
      <c r="G2" s="664" t="s">
        <v>398</v>
      </c>
    </row>
    <row r="3" spans="1:13" s="86" customFormat="1" ht="87" thickBot="1" x14ac:dyDescent="0.3">
      <c r="A3" s="933"/>
      <c r="B3" s="934"/>
      <c r="C3" s="935" t="s">
        <v>302</v>
      </c>
      <c r="D3" s="935"/>
      <c r="E3" s="935"/>
      <c r="F3" s="1056" t="s">
        <v>1123</v>
      </c>
      <c r="G3" s="1056" t="s">
        <v>910</v>
      </c>
    </row>
    <row r="4" spans="1:13" ht="36.75" customHeight="1" thickBot="1" x14ac:dyDescent="0.35">
      <c r="A4" s="936">
        <v>1</v>
      </c>
      <c r="B4" s="971" t="s">
        <v>51</v>
      </c>
      <c r="C4" s="937"/>
      <c r="D4" s="1011"/>
      <c r="E4" s="1068"/>
      <c r="F4" s="940" t="s">
        <v>426</v>
      </c>
      <c r="G4" s="938" t="s">
        <v>295</v>
      </c>
    </row>
    <row r="5" spans="1:13" ht="47.25" x14ac:dyDescent="0.25">
      <c r="A5" s="666">
        <v>1.1000000000000001</v>
      </c>
      <c r="B5" s="655" t="s">
        <v>53</v>
      </c>
      <c r="C5" s="667"/>
      <c r="D5" s="1012"/>
      <c r="E5" s="1012"/>
      <c r="F5" s="941"/>
      <c r="G5" s="665"/>
    </row>
    <row r="6" spans="1:13" ht="87.75" customHeight="1" x14ac:dyDescent="0.25">
      <c r="A6" s="668" t="s">
        <v>54</v>
      </c>
      <c r="B6" s="669" t="s">
        <v>648</v>
      </c>
      <c r="C6" s="1087" t="s">
        <v>932</v>
      </c>
      <c r="D6" s="1026" t="s">
        <v>649</v>
      </c>
      <c r="E6" s="1026"/>
      <c r="F6" s="942">
        <f>G6/1.1317</f>
        <v>706.90112220553158</v>
      </c>
      <c r="G6" s="911">
        <f>Workings!T65</f>
        <v>800</v>
      </c>
      <c r="H6" s="85">
        <f>13.35/1.1317</f>
        <v>11.796412476804807</v>
      </c>
      <c r="M6" s="2424" t="s">
        <v>1061</v>
      </c>
    </row>
    <row r="7" spans="1:13" ht="67.5" customHeight="1" x14ac:dyDescent="0.25">
      <c r="A7" s="670" t="s">
        <v>445</v>
      </c>
      <c r="B7" s="671" t="s">
        <v>647</v>
      </c>
      <c r="C7" s="1087" t="s">
        <v>933</v>
      </c>
      <c r="D7" s="1027" t="s">
        <v>650</v>
      </c>
      <c r="E7" s="1069"/>
      <c r="F7" s="942">
        <f t="shared" ref="F7:F14" si="0">G7/1.1317</f>
        <v>4418.1320137845723</v>
      </c>
      <c r="G7" s="911">
        <f>Workings!T66</f>
        <v>5000</v>
      </c>
      <c r="H7" s="85">
        <f>500/1.1317</f>
        <v>441.81320137845722</v>
      </c>
      <c r="M7" s="2424" t="s">
        <v>650</v>
      </c>
    </row>
    <row r="8" spans="1:13" ht="54" customHeight="1" x14ac:dyDescent="0.25">
      <c r="A8" s="672" t="s">
        <v>57</v>
      </c>
      <c r="B8" s="673" t="s">
        <v>763</v>
      </c>
      <c r="C8" s="1087" t="s">
        <v>934</v>
      </c>
      <c r="D8" s="906" t="s">
        <v>896</v>
      </c>
      <c r="E8" s="1026"/>
      <c r="F8" s="942">
        <f t="shared" si="0"/>
        <v>7334.09914288239</v>
      </c>
      <c r="G8" s="911">
        <f>Workings!T67</f>
        <v>8300</v>
      </c>
      <c r="H8" s="85">
        <f>25/1.1317</f>
        <v>22.090660068922862</v>
      </c>
      <c r="M8" s="2423" t="s">
        <v>896</v>
      </c>
    </row>
    <row r="9" spans="1:13" ht="65.25" customHeight="1" x14ac:dyDescent="0.25">
      <c r="A9" s="672" t="s">
        <v>651</v>
      </c>
      <c r="B9" s="673" t="s">
        <v>652</v>
      </c>
      <c r="C9" s="1087" t="s">
        <v>935</v>
      </c>
      <c r="D9" s="906" t="s">
        <v>756</v>
      </c>
      <c r="E9" s="1026"/>
      <c r="F9" s="942">
        <f t="shared" si="0"/>
        <v>68754.970398515507</v>
      </c>
      <c r="G9" s="911">
        <f>Workings!T68</f>
        <v>77810</v>
      </c>
      <c r="H9" s="85">
        <f>104/1.1317</f>
        <v>91.897145886719102</v>
      </c>
      <c r="I9" s="85">
        <f>2930/1.1317</f>
        <v>2589.0253600777592</v>
      </c>
      <c r="M9" s="2424" t="s">
        <v>756</v>
      </c>
    </row>
    <row r="10" spans="1:13" ht="81" customHeight="1" thickBot="1" x14ac:dyDescent="0.3">
      <c r="A10" s="2410" t="s">
        <v>60</v>
      </c>
      <c r="B10" s="2411" t="s">
        <v>582</v>
      </c>
      <c r="C10" s="1087" t="s">
        <v>936</v>
      </c>
      <c r="D10" s="1028" t="s">
        <v>653</v>
      </c>
      <c r="E10" s="1026"/>
      <c r="F10" s="942">
        <f t="shared" si="0"/>
        <v>28276.044888221262</v>
      </c>
      <c r="G10" s="911">
        <f>Workings!T69</f>
        <v>32000</v>
      </c>
      <c r="H10" s="85">
        <f>400/1.1317</f>
        <v>353.45056110276579</v>
      </c>
      <c r="M10" s="2424" t="s">
        <v>1062</v>
      </c>
    </row>
    <row r="11" spans="1:13" ht="106.5" customHeight="1" x14ac:dyDescent="0.25">
      <c r="A11" s="672" t="s">
        <v>62</v>
      </c>
      <c r="B11" s="673" t="s">
        <v>753</v>
      </c>
      <c r="C11" s="1087" t="s">
        <v>937</v>
      </c>
      <c r="D11" s="908" t="s">
        <v>722</v>
      </c>
      <c r="E11" s="1069"/>
      <c r="F11" s="942">
        <f t="shared" si="0"/>
        <v>381887.10789078381</v>
      </c>
      <c r="G11" s="911">
        <f>Workings!T70</f>
        <v>432181.64</v>
      </c>
      <c r="H11" s="85">
        <f>170/1.1317</f>
        <v>150.21648846867546</v>
      </c>
      <c r="I11" s="85">
        <f>40000/1.1317</f>
        <v>35345.056110276579</v>
      </c>
      <c r="J11" s="85">
        <f>24281.64/1.1317</f>
        <v>21455.898206238402</v>
      </c>
      <c r="M11" s="2424" t="s">
        <v>722</v>
      </c>
    </row>
    <row r="12" spans="1:13" ht="102" customHeight="1" x14ac:dyDescent="0.25">
      <c r="A12" s="674" t="s">
        <v>730</v>
      </c>
      <c r="B12" s="671" t="s">
        <v>899</v>
      </c>
      <c r="C12" s="1087" t="s">
        <v>938</v>
      </c>
      <c r="D12" s="1027" t="s">
        <v>900</v>
      </c>
      <c r="E12" s="1069"/>
      <c r="F12" s="942">
        <f t="shared" si="0"/>
        <v>76905.098524343906</v>
      </c>
      <c r="G12" s="911">
        <f>Workings!T71</f>
        <v>87033.5</v>
      </c>
      <c r="H12" s="85">
        <f>170/1.1317</f>
        <v>150.21648846867546</v>
      </c>
      <c r="I12" s="85">
        <f>2800/1.1317</f>
        <v>2474.1539277193606</v>
      </c>
      <c r="M12" s="2424" t="s">
        <v>900</v>
      </c>
    </row>
    <row r="13" spans="1:13" ht="87" customHeight="1" x14ac:dyDescent="0.25">
      <c r="A13" s="674" t="s">
        <v>65</v>
      </c>
      <c r="B13" s="671" t="s">
        <v>787</v>
      </c>
      <c r="C13" s="1087" t="s">
        <v>939</v>
      </c>
      <c r="D13" s="1027" t="s">
        <v>869</v>
      </c>
      <c r="E13" s="1069"/>
      <c r="F13" s="942">
        <f t="shared" si="0"/>
        <v>2597.8616241053282</v>
      </c>
      <c r="G13" s="911">
        <f>Workings!T73</f>
        <v>2940</v>
      </c>
      <c r="H13" s="85">
        <f>35/1.1317</f>
        <v>30.926924096492005</v>
      </c>
      <c r="M13" s="2424" t="s">
        <v>869</v>
      </c>
    </row>
    <row r="14" spans="1:13" ht="80.25" customHeight="1" thickBot="1" x14ac:dyDescent="0.3">
      <c r="A14" s="674" t="s">
        <v>68</v>
      </c>
      <c r="B14" s="930" t="s">
        <v>69</v>
      </c>
      <c r="C14" s="669" t="s">
        <v>940</v>
      </c>
      <c r="D14" s="1029" t="s">
        <v>764</v>
      </c>
      <c r="E14" s="1026"/>
      <c r="F14" s="942">
        <f t="shared" si="0"/>
        <v>9331.0948131130172</v>
      </c>
      <c r="G14" s="911">
        <f>Workings!T74</f>
        <v>10560</v>
      </c>
      <c r="H14" s="85">
        <f>195/1.1317</f>
        <v>172.30714853759832</v>
      </c>
      <c r="I14" s="85">
        <f>400/1.1317</f>
        <v>353.45056110276579</v>
      </c>
      <c r="J14" s="85">
        <f>585/1.1317</f>
        <v>516.92144561279497</v>
      </c>
      <c r="M14" s="2424" t="s">
        <v>764</v>
      </c>
    </row>
    <row r="15" spans="1:13" ht="39" customHeight="1" thickBot="1" x14ac:dyDescent="0.3">
      <c r="A15" s="649"/>
      <c r="B15" s="916" t="s">
        <v>341</v>
      </c>
      <c r="C15" s="916"/>
      <c r="D15" s="1013"/>
      <c r="E15" s="1013"/>
      <c r="F15" s="932">
        <f>SUM(F6:F14)</f>
        <v>580211.31041795528</v>
      </c>
      <c r="G15" s="932">
        <f>SUM(G6:G14)</f>
        <v>656625.14</v>
      </c>
      <c r="M15" s="2424"/>
    </row>
    <row r="16" spans="1:13" ht="60.75" customHeight="1" x14ac:dyDescent="0.3">
      <c r="A16" s="675" t="s">
        <v>71</v>
      </c>
      <c r="B16" s="931" t="s">
        <v>72</v>
      </c>
      <c r="C16" s="709"/>
      <c r="D16" s="1014"/>
      <c r="E16" s="1070"/>
      <c r="F16" s="945"/>
      <c r="G16" s="665"/>
      <c r="M16" s="2414"/>
    </row>
    <row r="17" spans="1:13" ht="68.25" customHeight="1" x14ac:dyDescent="0.25">
      <c r="A17" s="672" t="s">
        <v>73</v>
      </c>
      <c r="B17" s="673" t="s">
        <v>584</v>
      </c>
      <c r="C17" s="1087" t="s">
        <v>941</v>
      </c>
      <c r="D17" s="906" t="s">
        <v>585</v>
      </c>
      <c r="E17" s="1071"/>
      <c r="F17" s="943">
        <f>G17/1.1317</f>
        <v>53349.827692851468</v>
      </c>
      <c r="G17" s="911">
        <f>Workings!T79</f>
        <v>60376</v>
      </c>
      <c r="H17" s="85">
        <f>500/1.1317</f>
        <v>441.81320137845722</v>
      </c>
      <c r="I17" s="85">
        <f>6376/1.1317</f>
        <v>5634.0019439780863</v>
      </c>
      <c r="M17" s="2423" t="s">
        <v>1041</v>
      </c>
    </row>
    <row r="18" spans="1:13" ht="84.75" customHeight="1" x14ac:dyDescent="0.25">
      <c r="A18" s="672" t="s">
        <v>75</v>
      </c>
      <c r="B18" s="673" t="s">
        <v>711</v>
      </c>
      <c r="C18" s="1087" t="s">
        <v>942</v>
      </c>
      <c r="D18" s="906" t="s">
        <v>765</v>
      </c>
      <c r="E18" s="1071"/>
      <c r="F18" s="943">
        <f t="shared" ref="F18:F25" si="1">G18/1.1317</f>
        <v>18794.73358663957</v>
      </c>
      <c r="G18" s="911">
        <f>Workings!T80</f>
        <v>21270</v>
      </c>
      <c r="H18" s="85">
        <f>10/1.1317</f>
        <v>8.8362640275691451</v>
      </c>
      <c r="M18" s="2423" t="s">
        <v>1042</v>
      </c>
    </row>
    <row r="19" spans="1:13" ht="25.5" customHeight="1" x14ac:dyDescent="0.25">
      <c r="A19" s="674" t="s">
        <v>80</v>
      </c>
      <c r="B19" s="676" t="s">
        <v>81</v>
      </c>
      <c r="C19" s="1087"/>
      <c r="D19" s="1029"/>
      <c r="E19" s="1026"/>
      <c r="F19" s="943">
        <f t="shared" si="1"/>
        <v>0</v>
      </c>
      <c r="G19" s="911"/>
      <c r="M19" s="2423"/>
    </row>
    <row r="20" spans="1:13" ht="81" customHeight="1" x14ac:dyDescent="0.25">
      <c r="A20" s="677" t="s">
        <v>451</v>
      </c>
      <c r="B20" s="678" t="s">
        <v>448</v>
      </c>
      <c r="C20" s="1087" t="s">
        <v>943</v>
      </c>
      <c r="D20" s="1030" t="s">
        <v>449</v>
      </c>
      <c r="E20" s="1072"/>
      <c r="F20" s="943">
        <f t="shared" si="1"/>
        <v>24708.845100291597</v>
      </c>
      <c r="G20" s="911">
        <f>Workings!T84</f>
        <v>27963</v>
      </c>
      <c r="H20" s="85">
        <f>17700/1.1317</f>
        <v>15640.187328797385</v>
      </c>
      <c r="I20" s="85">
        <f>10263/1.1317</f>
        <v>9068.6577714942123</v>
      </c>
      <c r="M20" s="2424" t="s">
        <v>1043</v>
      </c>
    </row>
    <row r="21" spans="1:13" ht="103.5" customHeight="1" x14ac:dyDescent="0.25">
      <c r="A21" s="672" t="s">
        <v>452</v>
      </c>
      <c r="B21" s="673" t="s">
        <v>450</v>
      </c>
      <c r="C21" s="1087" t="s">
        <v>944</v>
      </c>
      <c r="D21" s="906" t="s">
        <v>586</v>
      </c>
      <c r="E21" s="1071"/>
      <c r="F21" s="943">
        <f t="shared" si="1"/>
        <v>21030.308385614564</v>
      </c>
      <c r="G21" s="911">
        <f>Workings!T85</f>
        <v>23800</v>
      </c>
      <c r="H21" s="85">
        <f>23800/1.1317</f>
        <v>21030.308385614564</v>
      </c>
      <c r="M21" s="2424" t="s">
        <v>915</v>
      </c>
    </row>
    <row r="22" spans="1:13" ht="114" customHeight="1" x14ac:dyDescent="0.25">
      <c r="A22" s="679" t="s">
        <v>453</v>
      </c>
      <c r="B22" s="671" t="s">
        <v>454</v>
      </c>
      <c r="C22" s="1087" t="s">
        <v>945</v>
      </c>
      <c r="D22" s="1029" t="s">
        <v>757</v>
      </c>
      <c r="E22" s="1073"/>
      <c r="F22" s="943">
        <f t="shared" si="1"/>
        <v>46293.629053636127</v>
      </c>
      <c r="G22" s="911">
        <f>Workings!T86</f>
        <v>52390.5</v>
      </c>
      <c r="H22" s="85">
        <f>195/1.1317</f>
        <v>172.30714853759832</v>
      </c>
      <c r="I22" s="85">
        <f>3600/1.1317</f>
        <v>3181.055049924892</v>
      </c>
      <c r="J22" s="85">
        <f>2890/1.1317</f>
        <v>2553.6803039674828</v>
      </c>
      <c r="M22" s="2424" t="s">
        <v>757</v>
      </c>
    </row>
    <row r="23" spans="1:13" ht="115.5" customHeight="1" x14ac:dyDescent="0.25">
      <c r="A23" s="679" t="s">
        <v>453</v>
      </c>
      <c r="B23" s="671" t="s">
        <v>654</v>
      </c>
      <c r="C23" s="1087" t="s">
        <v>946</v>
      </c>
      <c r="D23" s="1029" t="s">
        <v>895</v>
      </c>
      <c r="E23" s="1073"/>
      <c r="F23" s="943">
        <f t="shared" si="1"/>
        <v>48246.001590527529</v>
      </c>
      <c r="G23" s="911">
        <f>Workings!T87</f>
        <v>54600</v>
      </c>
      <c r="H23" s="85">
        <f>30/1.1317</f>
        <v>26.508792082707433</v>
      </c>
      <c r="I23" s="85">
        <f>7800/1.1317</f>
        <v>6892.2859415039329</v>
      </c>
      <c r="M23" s="2424" t="s">
        <v>895</v>
      </c>
    </row>
    <row r="24" spans="1:13" ht="96.75" customHeight="1" x14ac:dyDescent="0.25">
      <c r="A24" s="679" t="s">
        <v>455</v>
      </c>
      <c r="B24" s="671" t="s">
        <v>456</v>
      </c>
      <c r="C24" s="1087" t="s">
        <v>947</v>
      </c>
      <c r="D24" s="1029" t="s">
        <v>459</v>
      </c>
      <c r="E24" s="1073"/>
      <c r="F24" s="943">
        <f t="shared" si="1"/>
        <v>7133.5159494565705</v>
      </c>
      <c r="G24" s="911">
        <f>Workings!T88</f>
        <v>8073</v>
      </c>
      <c r="H24" s="85">
        <f>250/1.1317</f>
        <v>220.90660068922861</v>
      </c>
      <c r="I24" s="85">
        <f>2073/1.1317</f>
        <v>1831.7575329150836</v>
      </c>
      <c r="M24" s="2424" t="s">
        <v>459</v>
      </c>
    </row>
    <row r="25" spans="1:13" ht="96.75" customHeight="1" x14ac:dyDescent="0.25">
      <c r="A25" s="679" t="s">
        <v>457</v>
      </c>
      <c r="B25" s="671" t="s">
        <v>458</v>
      </c>
      <c r="C25" s="1087" t="s">
        <v>948</v>
      </c>
      <c r="D25" s="1029" t="s">
        <v>460</v>
      </c>
      <c r="E25" s="1073"/>
      <c r="F25" s="943">
        <f t="shared" si="1"/>
        <v>6491.561367853672</v>
      </c>
      <c r="G25" s="911">
        <f>Workings!T89</f>
        <v>7346.5</v>
      </c>
      <c r="H25" s="85">
        <f>250/1.1317</f>
        <v>220.90660068922861</v>
      </c>
      <c r="I25" s="85">
        <f>2946.5/1.1317</f>
        <v>2603.6051957232485</v>
      </c>
      <c r="M25" s="2424" t="s">
        <v>460</v>
      </c>
    </row>
    <row r="26" spans="1:13" ht="41.25" customHeight="1" x14ac:dyDescent="0.25">
      <c r="A26" s="680"/>
      <c r="B26" s="655" t="s">
        <v>341</v>
      </c>
      <c r="C26" s="655"/>
      <c r="D26" s="939"/>
      <c r="E26" s="939"/>
      <c r="F26" s="911">
        <f>SUM(F17:F25)</f>
        <v>226048.4227268711</v>
      </c>
      <c r="G26" s="911">
        <f>SUM(G17:G25)</f>
        <v>255819</v>
      </c>
      <c r="M26" s="2424"/>
    </row>
    <row r="27" spans="1:13" ht="41.25" customHeight="1" x14ac:dyDescent="0.25">
      <c r="A27" s="680"/>
      <c r="B27" s="682"/>
      <c r="C27" s="653"/>
      <c r="D27" s="1015"/>
      <c r="E27" s="1015"/>
      <c r="F27" s="946"/>
      <c r="G27" s="911"/>
      <c r="M27" s="2424"/>
    </row>
    <row r="28" spans="1:13" ht="43.5" customHeight="1" x14ac:dyDescent="0.25">
      <c r="A28" s="683">
        <v>2</v>
      </c>
      <c r="B28" s="2757" t="s">
        <v>82</v>
      </c>
      <c r="C28" s="2758"/>
      <c r="D28" s="2759"/>
      <c r="E28" s="2759"/>
      <c r="F28" s="947"/>
      <c r="G28" s="911"/>
      <c r="M28" s="1029"/>
    </row>
    <row r="29" spans="1:13" ht="81.75" customHeight="1" x14ac:dyDescent="0.25">
      <c r="A29" s="684">
        <v>2.1</v>
      </c>
      <c r="B29" s="655" t="s">
        <v>83</v>
      </c>
      <c r="C29" s="648"/>
      <c r="D29" s="652"/>
      <c r="E29" s="652"/>
      <c r="F29" s="948"/>
      <c r="G29" s="911"/>
      <c r="M29" s="1029"/>
    </row>
    <row r="30" spans="1:13" ht="136.5" customHeight="1" x14ac:dyDescent="0.25">
      <c r="A30" s="685" t="s">
        <v>85</v>
      </c>
      <c r="B30" s="686" t="s">
        <v>587</v>
      </c>
      <c r="C30" s="1087" t="s">
        <v>949</v>
      </c>
      <c r="D30" s="1031" t="s">
        <v>588</v>
      </c>
      <c r="E30" s="1074"/>
      <c r="F30" s="943">
        <f>G30/1.1317</f>
        <v>16728.815056993903</v>
      </c>
      <c r="G30" s="911">
        <f>Workings!T96</f>
        <v>18932</v>
      </c>
      <c r="H30" s="85">
        <f>195/1.1317</f>
        <v>172.30714853759832</v>
      </c>
      <c r="I30" s="85">
        <f>212/1.1317</f>
        <v>187.32879738446587</v>
      </c>
      <c r="M30" s="2424" t="s">
        <v>588</v>
      </c>
    </row>
    <row r="31" spans="1:13" ht="103.5" customHeight="1" thickBot="1" x14ac:dyDescent="0.3">
      <c r="A31" s="687" t="s">
        <v>87</v>
      </c>
      <c r="B31" s="709" t="s">
        <v>907</v>
      </c>
      <c r="C31" s="1087" t="s">
        <v>950</v>
      </c>
      <c r="D31" s="1054" t="s">
        <v>589</v>
      </c>
      <c r="E31" s="1075"/>
      <c r="F31" s="943">
        <f t="shared" ref="F31:F44" si="2">G31/1.1317</f>
        <v>297711.40761685959</v>
      </c>
      <c r="G31" s="955">
        <f>Workings!T97</f>
        <v>336920</v>
      </c>
      <c r="H31" s="85">
        <f>170/1.1317</f>
        <v>150.21648846867546</v>
      </c>
      <c r="I31" s="85">
        <f>1403.33/1.1317</f>
        <v>1240.0194397808607</v>
      </c>
      <c r="J31" s="85">
        <f>2600/1.1317</f>
        <v>2297.4286471679775</v>
      </c>
      <c r="M31" s="2424" t="s">
        <v>916</v>
      </c>
    </row>
    <row r="32" spans="1:13" ht="65.25" customHeight="1" x14ac:dyDescent="0.25">
      <c r="A32" s="672" t="s">
        <v>89</v>
      </c>
      <c r="B32" s="673" t="s">
        <v>461</v>
      </c>
      <c r="C32" s="1088" t="s">
        <v>951</v>
      </c>
      <c r="D32" s="906" t="s">
        <v>887</v>
      </c>
      <c r="E32" s="1071"/>
      <c r="F32" s="943">
        <f t="shared" si="2"/>
        <v>5202.7922594327119</v>
      </c>
      <c r="G32" s="914">
        <f>Workings!T98</f>
        <v>5888</v>
      </c>
      <c r="H32" s="85">
        <f>5/1.1317</f>
        <v>4.4181320137845725</v>
      </c>
      <c r="M32" s="2424" t="s">
        <v>887</v>
      </c>
    </row>
    <row r="33" spans="1:13" ht="69" customHeight="1" x14ac:dyDescent="0.25">
      <c r="A33" s="689" t="s">
        <v>91</v>
      </c>
      <c r="B33" s="1038" t="s">
        <v>901</v>
      </c>
      <c r="C33" s="1087" t="s">
        <v>952</v>
      </c>
      <c r="D33" s="1029" t="s">
        <v>888</v>
      </c>
      <c r="E33" s="1073"/>
      <c r="F33" s="943">
        <f t="shared" si="2"/>
        <v>576.12441459750823</v>
      </c>
      <c r="G33" s="911">
        <f>Workings!T99</f>
        <v>652</v>
      </c>
      <c r="H33" s="85">
        <f>652/1.1317</f>
        <v>576.12441459750823</v>
      </c>
      <c r="M33" s="2424" t="s">
        <v>888</v>
      </c>
    </row>
    <row r="34" spans="1:13" ht="108" customHeight="1" x14ac:dyDescent="0.25">
      <c r="A34" s="689" t="s">
        <v>91</v>
      </c>
      <c r="B34" s="671" t="s">
        <v>655</v>
      </c>
      <c r="C34" s="1087" t="s">
        <v>953</v>
      </c>
      <c r="D34" s="908" t="s">
        <v>872</v>
      </c>
      <c r="E34" s="1076"/>
      <c r="F34" s="943">
        <f t="shared" si="2"/>
        <v>55668.463373685612</v>
      </c>
      <c r="G34" s="911">
        <f>Workings!T100</f>
        <v>63000</v>
      </c>
      <c r="H34" s="85">
        <f>170/1.1317</f>
        <v>150.21648846867546</v>
      </c>
      <c r="I34" s="85">
        <f>1800/1.1317</f>
        <v>1590.527524962446</v>
      </c>
      <c r="M34" s="2424" t="s">
        <v>872</v>
      </c>
    </row>
    <row r="35" spans="1:13" ht="84" customHeight="1" x14ac:dyDescent="0.25">
      <c r="A35" s="689" t="s">
        <v>462</v>
      </c>
      <c r="B35" s="671" t="s">
        <v>463</v>
      </c>
      <c r="C35" s="1087" t="s">
        <v>954</v>
      </c>
      <c r="D35" s="1027" t="s">
        <v>908</v>
      </c>
      <c r="E35" s="1077"/>
      <c r="F35" s="943">
        <f t="shared" si="2"/>
        <v>0</v>
      </c>
      <c r="G35" s="911">
        <f>Workings!T101</f>
        <v>0</v>
      </c>
      <c r="H35" s="85">
        <f>170/1.1317</f>
        <v>150.21648846867546</v>
      </c>
      <c r="I35" s="85">
        <f>3750/1.1317</f>
        <v>3313.5990103384293</v>
      </c>
      <c r="M35" s="2424" t="s">
        <v>894</v>
      </c>
    </row>
    <row r="36" spans="1:13" ht="81.75" customHeight="1" x14ac:dyDescent="0.25">
      <c r="A36" s="689" t="s">
        <v>93</v>
      </c>
      <c r="B36" s="671" t="s">
        <v>788</v>
      </c>
      <c r="C36" s="1087" t="s">
        <v>955</v>
      </c>
      <c r="D36" s="1029" t="s">
        <v>591</v>
      </c>
      <c r="E36" s="1073"/>
      <c r="F36" s="943">
        <f t="shared" si="2"/>
        <v>15585.402491826457</v>
      </c>
      <c r="G36" s="911">
        <f>Workings!T102</f>
        <v>17638</v>
      </c>
      <c r="H36" s="85">
        <f>30/1.1317</f>
        <v>26.508792082707433</v>
      </c>
      <c r="I36" s="85">
        <f>2638/1.1317</f>
        <v>2331.0064504727402</v>
      </c>
      <c r="M36" s="2424" t="s">
        <v>1044</v>
      </c>
    </row>
    <row r="37" spans="1:13" ht="117.75" customHeight="1" x14ac:dyDescent="0.25">
      <c r="A37" s="689" t="s">
        <v>464</v>
      </c>
      <c r="B37" s="671" t="s">
        <v>465</v>
      </c>
      <c r="C37" s="1087" t="s">
        <v>956</v>
      </c>
      <c r="D37" s="1029" t="s">
        <v>466</v>
      </c>
      <c r="E37" s="1073"/>
      <c r="F37" s="943">
        <f t="shared" si="2"/>
        <v>63903.861447380055</v>
      </c>
      <c r="G37" s="911">
        <f>Workings!T103</f>
        <v>72320</v>
      </c>
      <c r="H37" s="85">
        <f>195/1.1317</f>
        <v>172.30714853759832</v>
      </c>
      <c r="I37" s="85">
        <f>400/1.1317</f>
        <v>353.45056110276579</v>
      </c>
      <c r="J37" s="85">
        <f>7970/1.1317</f>
        <v>7042.5024299726083</v>
      </c>
      <c r="M37" s="2424" t="s">
        <v>1045</v>
      </c>
    </row>
    <row r="38" spans="1:13" ht="96.75" customHeight="1" x14ac:dyDescent="0.25">
      <c r="A38" s="689" t="s">
        <v>94</v>
      </c>
      <c r="B38" s="671" t="s">
        <v>332</v>
      </c>
      <c r="C38" s="1087" t="s">
        <v>957</v>
      </c>
      <c r="D38" s="1029" t="s">
        <v>592</v>
      </c>
      <c r="E38" s="1073"/>
      <c r="F38" s="943">
        <f t="shared" si="2"/>
        <v>18471.32632323054</v>
      </c>
      <c r="G38" s="911">
        <f>Workings!T104</f>
        <v>20904</v>
      </c>
      <c r="H38" s="85">
        <f>40/1.1317</f>
        <v>35.34505611027658</v>
      </c>
      <c r="I38" s="85">
        <f>452/1.1317</f>
        <v>399.39913404612531</v>
      </c>
      <c r="M38" s="2424" t="s">
        <v>1046</v>
      </c>
    </row>
    <row r="39" spans="1:13" ht="99" customHeight="1" x14ac:dyDescent="0.25">
      <c r="A39" s="690" t="s">
        <v>95</v>
      </c>
      <c r="B39" s="691" t="s">
        <v>593</v>
      </c>
      <c r="C39" s="1087" t="s">
        <v>958</v>
      </c>
      <c r="D39" s="1032" t="s">
        <v>766</v>
      </c>
      <c r="E39" s="1078"/>
      <c r="F39" s="943">
        <f t="shared" si="2"/>
        <v>18326.411593178404</v>
      </c>
      <c r="G39" s="911">
        <f>Workings!T105</f>
        <v>20740</v>
      </c>
      <c r="H39" s="85">
        <f>400/1.1317</f>
        <v>353.45056110276579</v>
      </c>
      <c r="I39" s="85">
        <f>5540/1.1317</f>
        <v>4895.2902712733057</v>
      </c>
      <c r="M39" s="2424" t="s">
        <v>766</v>
      </c>
    </row>
    <row r="40" spans="1:13" ht="81" customHeight="1" x14ac:dyDescent="0.25">
      <c r="A40" s="689" t="s">
        <v>95</v>
      </c>
      <c r="B40" s="671" t="s">
        <v>656</v>
      </c>
      <c r="C40" s="1087" t="s">
        <v>959</v>
      </c>
      <c r="D40" s="1027" t="s">
        <v>758</v>
      </c>
      <c r="E40" s="1077"/>
      <c r="F40" s="943">
        <f t="shared" si="2"/>
        <v>0</v>
      </c>
      <c r="G40" s="911">
        <f>Workings!T106</f>
        <v>0</v>
      </c>
      <c r="M40" s="2424" t="s">
        <v>917</v>
      </c>
    </row>
    <row r="41" spans="1:13" ht="48" customHeight="1" x14ac:dyDescent="0.25">
      <c r="A41" s="689" t="s">
        <v>657</v>
      </c>
      <c r="B41" s="671" t="s">
        <v>658</v>
      </c>
      <c r="C41" s="1087" t="s">
        <v>960</v>
      </c>
      <c r="D41" s="1027" t="s">
        <v>659</v>
      </c>
      <c r="E41" s="1077"/>
      <c r="F41" s="943">
        <f t="shared" si="2"/>
        <v>4418.1320137845723</v>
      </c>
      <c r="G41" s="911">
        <f>Workings!T107</f>
        <v>5000</v>
      </c>
      <c r="H41" s="85">
        <f>500/1.1317</f>
        <v>441.81320137845722</v>
      </c>
      <c r="M41" s="2424" t="s">
        <v>659</v>
      </c>
    </row>
    <row r="42" spans="1:13" ht="81" customHeight="1" x14ac:dyDescent="0.25">
      <c r="A42" s="689" t="s">
        <v>660</v>
      </c>
      <c r="B42" s="671" t="s">
        <v>661</v>
      </c>
      <c r="C42" s="1087" t="s">
        <v>961</v>
      </c>
      <c r="D42" s="1027" t="s">
        <v>662</v>
      </c>
      <c r="E42" s="1077"/>
      <c r="F42" s="943">
        <f t="shared" si="2"/>
        <v>3534.5056110276578</v>
      </c>
      <c r="G42" s="911">
        <f>Workings!T108</f>
        <v>4000</v>
      </c>
      <c r="H42" s="85">
        <f>10/1.1317</f>
        <v>8.8362640275691451</v>
      </c>
      <c r="M42" s="2424" t="s">
        <v>662</v>
      </c>
    </row>
    <row r="43" spans="1:13" ht="65.25" customHeight="1" x14ac:dyDescent="0.25">
      <c r="A43" s="689" t="s">
        <v>663</v>
      </c>
      <c r="B43" s="671" t="s">
        <v>664</v>
      </c>
      <c r="C43" s="1087" t="s">
        <v>962</v>
      </c>
      <c r="D43" s="1027" t="s">
        <v>665</v>
      </c>
      <c r="E43" s="1077"/>
      <c r="F43" s="943">
        <f t="shared" si="2"/>
        <v>0</v>
      </c>
      <c r="G43" s="911">
        <f>Workings!T109</f>
        <v>0</v>
      </c>
      <c r="M43" s="2424" t="s">
        <v>665</v>
      </c>
    </row>
    <row r="44" spans="1:13" ht="54.75" customHeight="1" thickBot="1" x14ac:dyDescent="0.3">
      <c r="A44" s="689" t="s">
        <v>666</v>
      </c>
      <c r="B44" s="920" t="s">
        <v>667</v>
      </c>
      <c r="C44" s="669" t="s">
        <v>963</v>
      </c>
      <c r="D44" s="1027" t="s">
        <v>665</v>
      </c>
      <c r="E44" s="1079"/>
      <c r="F44" s="943">
        <f t="shared" si="2"/>
        <v>0</v>
      </c>
      <c r="G44" s="911">
        <f>Workings!T110</f>
        <v>0</v>
      </c>
      <c r="M44" s="2424" t="s">
        <v>665</v>
      </c>
    </row>
    <row r="45" spans="1:13" ht="38.25" customHeight="1" thickBot="1" x14ac:dyDescent="0.3">
      <c r="A45" s="654"/>
      <c r="B45" s="810" t="s">
        <v>341</v>
      </c>
      <c r="C45" s="810"/>
      <c r="D45" s="1016"/>
      <c r="E45" s="1016"/>
      <c r="F45" s="915">
        <f>SUM(F30:F44)</f>
        <v>500127.24220199697</v>
      </c>
      <c r="G45" s="915">
        <f>SUM(G30:G44)</f>
        <v>565994</v>
      </c>
      <c r="M45" s="2427"/>
    </row>
    <row r="46" spans="1:13" ht="72" customHeight="1" x14ac:dyDescent="0.25">
      <c r="A46" s="654"/>
      <c r="B46" s="931" t="s">
        <v>97</v>
      </c>
      <c r="C46" s="931"/>
      <c r="D46" s="1017"/>
      <c r="E46" s="1080"/>
      <c r="F46" s="950"/>
      <c r="G46" s="914"/>
      <c r="M46" s="909"/>
    </row>
    <row r="47" spans="1:13" ht="83.25" customHeight="1" x14ac:dyDescent="0.25">
      <c r="A47" s="692" t="s">
        <v>98</v>
      </c>
      <c r="B47" s="686" t="s">
        <v>99</v>
      </c>
      <c r="C47" s="1089" t="s">
        <v>964</v>
      </c>
      <c r="D47" s="1031" t="s">
        <v>898</v>
      </c>
      <c r="E47" s="1074"/>
      <c r="F47" s="943">
        <f>G47/1.1317</f>
        <v>2562.5165679950519</v>
      </c>
      <c r="G47" s="911">
        <f>Workings!T114</f>
        <v>2900</v>
      </c>
      <c r="H47" s="85">
        <f>30/1.1317</f>
        <v>26.508792082707433</v>
      </c>
      <c r="I47" s="85">
        <f>500/1.1317</f>
        <v>441.81320137845722</v>
      </c>
      <c r="M47" s="2423" t="s">
        <v>1047</v>
      </c>
    </row>
    <row r="48" spans="1:13" ht="114" customHeight="1" x14ac:dyDescent="0.25">
      <c r="A48" s="693" t="s">
        <v>101</v>
      </c>
      <c r="B48" s="673" t="s">
        <v>547</v>
      </c>
      <c r="C48" s="1087" t="s">
        <v>965</v>
      </c>
      <c r="D48" s="1033" t="s">
        <v>594</v>
      </c>
      <c r="E48" s="1081"/>
      <c r="F48" s="943">
        <f t="shared" ref="F48:F54" si="3">G48/1.1317</f>
        <v>43783.688256605114</v>
      </c>
      <c r="G48" s="911">
        <f>Workings!T115</f>
        <v>49550</v>
      </c>
      <c r="H48" s="85">
        <f>120/1.1317</f>
        <v>106.03516833082973</v>
      </c>
      <c r="I48" s="85">
        <f>6800/1.1317</f>
        <v>6008.6595387470179</v>
      </c>
      <c r="J48" s="85">
        <f>40/1.1317</f>
        <v>35.34505611027658</v>
      </c>
      <c r="K48" s="85">
        <f>6350/1.1317</f>
        <v>5611.0276575064063</v>
      </c>
      <c r="M48" s="2423" t="s">
        <v>1048</v>
      </c>
    </row>
    <row r="49" spans="1:13" ht="113.25" customHeight="1" x14ac:dyDescent="0.25">
      <c r="A49" s="693" t="s">
        <v>102</v>
      </c>
      <c r="B49" s="673" t="s">
        <v>467</v>
      </c>
      <c r="C49" s="1087" t="s">
        <v>966</v>
      </c>
      <c r="D49" s="906" t="s">
        <v>729</v>
      </c>
      <c r="E49" s="1071"/>
      <c r="F49" s="943">
        <f t="shared" si="3"/>
        <v>185049.04126535301</v>
      </c>
      <c r="G49" s="911">
        <f>Workings!T116</f>
        <v>209420</v>
      </c>
      <c r="H49" s="85">
        <f>185/1.1317</f>
        <v>163.47088451002918</v>
      </c>
      <c r="I49" s="85">
        <f>400/1.1317</f>
        <v>353.45056110276579</v>
      </c>
      <c r="J49" s="85">
        <f>3170/1.1317</f>
        <v>2801.0956967394186</v>
      </c>
      <c r="M49" s="2423" t="s">
        <v>918</v>
      </c>
    </row>
    <row r="50" spans="1:13" ht="69" customHeight="1" x14ac:dyDescent="0.25">
      <c r="A50" s="693" t="s">
        <v>468</v>
      </c>
      <c r="B50" s="673" t="s">
        <v>469</v>
      </c>
      <c r="C50" s="1087" t="s">
        <v>967</v>
      </c>
      <c r="D50" s="908" t="s">
        <v>728</v>
      </c>
      <c r="E50" s="1076"/>
      <c r="F50" s="943">
        <f t="shared" si="3"/>
        <v>3004.329769373509</v>
      </c>
      <c r="G50" s="911">
        <f>Workings!T117</f>
        <v>3400</v>
      </c>
      <c r="H50" s="85">
        <f>30/1.1317</f>
        <v>26.508792082707433</v>
      </c>
      <c r="I50" s="85">
        <f>400/1.1317</f>
        <v>353.45056110276579</v>
      </c>
      <c r="M50" s="2424" t="s">
        <v>728</v>
      </c>
    </row>
    <row r="51" spans="1:13" ht="54" customHeight="1" x14ac:dyDescent="0.25">
      <c r="A51" s="693" t="s">
        <v>470</v>
      </c>
      <c r="B51" s="673" t="s">
        <v>595</v>
      </c>
      <c r="C51" s="1087" t="s">
        <v>968</v>
      </c>
      <c r="D51" s="908" t="s">
        <v>596</v>
      </c>
      <c r="E51" s="1076"/>
      <c r="F51" s="943">
        <f t="shared" si="3"/>
        <v>42400.812936290538</v>
      </c>
      <c r="G51" s="911">
        <f>Workings!T118</f>
        <v>47985</v>
      </c>
      <c r="H51" s="85">
        <f>250/1.1317</f>
        <v>220.90660068922861</v>
      </c>
      <c r="I51" s="85">
        <f>9485/1.1317</f>
        <v>8381.1964301493335</v>
      </c>
      <c r="M51" s="2424" t="s">
        <v>596</v>
      </c>
    </row>
    <row r="52" spans="1:13" ht="81" customHeight="1" x14ac:dyDescent="0.25">
      <c r="A52" s="694" t="s">
        <v>102</v>
      </c>
      <c r="B52" s="682" t="s">
        <v>668</v>
      </c>
      <c r="C52" s="1087" t="s">
        <v>969</v>
      </c>
      <c r="D52" s="909" t="s">
        <v>893</v>
      </c>
      <c r="E52" s="1082"/>
      <c r="F52" s="943">
        <f t="shared" si="3"/>
        <v>4665.5474065565086</v>
      </c>
      <c r="G52" s="911">
        <f>Workings!T119</f>
        <v>5280</v>
      </c>
      <c r="H52" s="85">
        <f>30/1.1317</f>
        <v>26.508792082707433</v>
      </c>
      <c r="M52" s="2424" t="s">
        <v>893</v>
      </c>
    </row>
    <row r="53" spans="1:13" ht="81" customHeight="1" x14ac:dyDescent="0.25">
      <c r="A53" s="694" t="s">
        <v>468</v>
      </c>
      <c r="B53" s="910" t="s">
        <v>902</v>
      </c>
      <c r="C53" s="669" t="s">
        <v>970</v>
      </c>
      <c r="D53" s="1034" t="s">
        <v>892</v>
      </c>
      <c r="E53" s="1078"/>
      <c r="F53" s="943">
        <f t="shared" si="3"/>
        <v>53371.034726517631</v>
      </c>
      <c r="G53" s="911">
        <f>Workings!T120</f>
        <v>60400</v>
      </c>
      <c r="H53" s="85">
        <f>25/1.1317</f>
        <v>22.090660068922862</v>
      </c>
      <c r="I53" s="85">
        <f>10000/1.1317</f>
        <v>8836.2640275691447</v>
      </c>
      <c r="J53" s="85">
        <f>6000/1.1317</f>
        <v>5301.7584165414864</v>
      </c>
      <c r="M53" s="2424" t="s">
        <v>892</v>
      </c>
    </row>
    <row r="54" spans="1:13" ht="81" customHeight="1" thickBot="1" x14ac:dyDescent="0.3">
      <c r="A54" s="1664" t="s">
        <v>912</v>
      </c>
      <c r="B54" s="1665" t="s">
        <v>913</v>
      </c>
      <c r="C54" s="682" t="s">
        <v>1103</v>
      </c>
      <c r="D54" s="926"/>
      <c r="E54" s="926"/>
      <c r="F54" s="943">
        <f t="shared" si="3"/>
        <v>3101.5286736767698</v>
      </c>
      <c r="G54" s="914">
        <v>3510</v>
      </c>
      <c r="H54" s="85">
        <f>3510/1.1317</f>
        <v>3101.5286736767698</v>
      </c>
      <c r="M54" s="2424" t="s">
        <v>1049</v>
      </c>
    </row>
    <row r="55" spans="1:13" ht="38.25" customHeight="1" thickBot="1" x14ac:dyDescent="0.3">
      <c r="A55" s="654"/>
      <c r="B55" s="810" t="s">
        <v>341</v>
      </c>
      <c r="C55" s="810"/>
      <c r="D55" s="1016"/>
      <c r="E55" s="1016"/>
      <c r="F55" s="915">
        <f>SUM(F47:F54)</f>
        <v>337938.4996023681</v>
      </c>
      <c r="G55" s="915">
        <f>SUM(G47:G54)</f>
        <v>382445</v>
      </c>
      <c r="M55" s="2414"/>
    </row>
    <row r="56" spans="1:13" ht="58.5" customHeight="1" x14ac:dyDescent="0.25">
      <c r="A56" s="695">
        <v>2.2999999999999998</v>
      </c>
      <c r="B56" s="912" t="s">
        <v>103</v>
      </c>
      <c r="C56" s="913"/>
      <c r="D56" s="1014"/>
      <c r="E56" s="1070"/>
      <c r="F56" s="949" t="s">
        <v>33</v>
      </c>
      <c r="G56" s="914"/>
      <c r="M56" s="1034"/>
    </row>
    <row r="57" spans="1:13" ht="68.25" customHeight="1" thickBot="1" x14ac:dyDescent="0.3">
      <c r="A57" s="651" t="s">
        <v>107</v>
      </c>
      <c r="B57" s="669" t="s">
        <v>108</v>
      </c>
      <c r="C57" s="669" t="s">
        <v>971</v>
      </c>
      <c r="D57" s="1034" t="s">
        <v>597</v>
      </c>
      <c r="E57" s="1078"/>
      <c r="F57" s="944">
        <f>G57/1.1317</f>
        <v>5080.8518158522584</v>
      </c>
      <c r="G57" s="911">
        <f>Workings!T127</f>
        <v>5750</v>
      </c>
      <c r="H57" s="85">
        <f>25/1.1317</f>
        <v>22.090660068922862</v>
      </c>
      <c r="I57" s="85">
        <f>750/1.1317</f>
        <v>662.71980206768581</v>
      </c>
      <c r="M57" s="2424" t="s">
        <v>1050</v>
      </c>
    </row>
    <row r="58" spans="1:13" ht="30.75" customHeight="1" thickBot="1" x14ac:dyDescent="0.3">
      <c r="A58" s="696"/>
      <c r="B58" s="810" t="s">
        <v>341</v>
      </c>
      <c r="C58" s="810"/>
      <c r="D58" s="1016"/>
      <c r="E58" s="1016"/>
      <c r="F58" s="915">
        <f>SUM(F57:F57)</f>
        <v>5080.8518158522584</v>
      </c>
      <c r="G58" s="915">
        <f>SUM(G57:G57)</f>
        <v>5750</v>
      </c>
      <c r="M58" s="2416">
        <f t="shared" ref="M58" si="4">SUM(M56:M57)</f>
        <v>0</v>
      </c>
    </row>
    <row r="59" spans="1:13" ht="18.75" customHeight="1" x14ac:dyDescent="0.25">
      <c r="A59" s="954"/>
      <c r="B59" s="951"/>
      <c r="C59" s="951"/>
      <c r="D59" s="1018"/>
      <c r="E59" s="1083"/>
      <c r="F59" s="952"/>
      <c r="G59" s="914"/>
      <c r="M59" s="2414"/>
    </row>
    <row r="60" spans="1:13" ht="54" customHeight="1" x14ac:dyDescent="0.25">
      <c r="A60" s="953">
        <v>2.4</v>
      </c>
      <c r="B60" s="912" t="s">
        <v>111</v>
      </c>
      <c r="C60" s="913"/>
      <c r="D60" s="1014"/>
      <c r="E60" s="1070"/>
      <c r="F60" s="941"/>
      <c r="G60" s="914"/>
      <c r="M60" s="2417"/>
    </row>
    <row r="61" spans="1:13" ht="105" customHeight="1" x14ac:dyDescent="0.25">
      <c r="A61" s="670" t="s">
        <v>114</v>
      </c>
      <c r="B61" s="1038" t="s">
        <v>903</v>
      </c>
      <c r="C61" s="648" t="s">
        <v>399</v>
      </c>
      <c r="D61" s="1034" t="s">
        <v>472</v>
      </c>
      <c r="E61" s="1034" t="s">
        <v>472</v>
      </c>
      <c r="F61" s="943">
        <f>G61/1.1317</f>
        <v>76115.578333480604</v>
      </c>
      <c r="G61" s="911">
        <f>Workings!T133</f>
        <v>86140</v>
      </c>
      <c r="H61" s="85">
        <f>170/1.1317</f>
        <v>150.21648846867546</v>
      </c>
      <c r="I61" s="85">
        <f>9640/1.1317</f>
        <v>8518.1585225766557</v>
      </c>
      <c r="M61" s="2424" t="s">
        <v>1051</v>
      </c>
    </row>
    <row r="62" spans="1:13" ht="51.75" customHeight="1" x14ac:dyDescent="0.25">
      <c r="A62" s="670" t="s">
        <v>473</v>
      </c>
      <c r="B62" s="1038" t="s">
        <v>474</v>
      </c>
      <c r="C62" s="648" t="s">
        <v>789</v>
      </c>
      <c r="D62" s="1035" t="s">
        <v>475</v>
      </c>
      <c r="E62" s="1035" t="s">
        <v>475</v>
      </c>
      <c r="F62" s="943">
        <f t="shared" ref="F62:F83" si="5">G62/1.1317</f>
        <v>4771.5825748873376</v>
      </c>
      <c r="G62" s="911">
        <f>Workings!T134</f>
        <v>5400</v>
      </c>
      <c r="H62" s="85">
        <f>40/1.1317</f>
        <v>35.34505611027658</v>
      </c>
      <c r="M62" s="2424" t="s">
        <v>475</v>
      </c>
    </row>
    <row r="63" spans="1:13" ht="51" customHeight="1" x14ac:dyDescent="0.25">
      <c r="A63" s="670" t="s">
        <v>116</v>
      </c>
      <c r="B63" s="1038" t="s">
        <v>476</v>
      </c>
      <c r="C63" s="648" t="s">
        <v>358</v>
      </c>
      <c r="D63" s="1034" t="s">
        <v>767</v>
      </c>
      <c r="E63" s="1034" t="s">
        <v>767</v>
      </c>
      <c r="F63" s="943">
        <f t="shared" si="5"/>
        <v>2696.8277812141027</v>
      </c>
      <c r="G63" s="911">
        <f>Workings!T135</f>
        <v>3052</v>
      </c>
      <c r="H63" s="85">
        <f>20/1.1317</f>
        <v>17.67252805513829</v>
      </c>
      <c r="I63" s="85">
        <f>352/1.1317</f>
        <v>311.03649377043388</v>
      </c>
      <c r="M63" s="2424" t="s">
        <v>767</v>
      </c>
    </row>
    <row r="64" spans="1:13" ht="49.5" customHeight="1" x14ac:dyDescent="0.25">
      <c r="A64" s="670" t="s">
        <v>118</v>
      </c>
      <c r="B64" s="1038" t="s">
        <v>119</v>
      </c>
      <c r="C64" s="648" t="s">
        <v>400</v>
      </c>
      <c r="D64" s="1034" t="s">
        <v>479</v>
      </c>
      <c r="E64" s="1034" t="s">
        <v>479</v>
      </c>
      <c r="F64" s="943">
        <f t="shared" si="5"/>
        <v>9357.6036051957235</v>
      </c>
      <c r="G64" s="911">
        <f>Workings!T136</f>
        <v>10590</v>
      </c>
      <c r="H64" s="85">
        <f>400/1.1317</f>
        <v>353.45056110276579</v>
      </c>
      <c r="I64" s="85">
        <f>190/1.1317</f>
        <v>167.88901652381375</v>
      </c>
      <c r="M64" s="2424" t="s">
        <v>479</v>
      </c>
    </row>
    <row r="65" spans="1:13" ht="67.5" customHeight="1" x14ac:dyDescent="0.25">
      <c r="A65" s="699" t="s">
        <v>477</v>
      </c>
      <c r="B65" s="1038" t="s">
        <v>669</v>
      </c>
      <c r="C65" s="648" t="s">
        <v>800</v>
      </c>
      <c r="D65" s="1035" t="s">
        <v>670</v>
      </c>
      <c r="E65" s="1035" t="s">
        <v>670</v>
      </c>
      <c r="F65" s="943">
        <f t="shared" si="5"/>
        <v>4418.1320137845723</v>
      </c>
      <c r="G65" s="911">
        <f>Workings!T137</f>
        <v>5000</v>
      </c>
      <c r="H65" s="85">
        <f>500/1.1317</f>
        <v>441.81320137845722</v>
      </c>
      <c r="M65" s="2424" t="s">
        <v>670</v>
      </c>
    </row>
    <row r="66" spans="1:13" ht="67.5" customHeight="1" x14ac:dyDescent="0.25">
      <c r="A66" s="670" t="s">
        <v>121</v>
      </c>
      <c r="B66" s="1038" t="s">
        <v>671</v>
      </c>
      <c r="C66" s="648" t="s">
        <v>801</v>
      </c>
      <c r="D66" s="1035" t="s">
        <v>873</v>
      </c>
      <c r="E66" s="1035" t="s">
        <v>873</v>
      </c>
      <c r="F66" s="943">
        <f t="shared" si="5"/>
        <v>19881.594062030574</v>
      </c>
      <c r="G66" s="911">
        <f>Workings!T138</f>
        <v>22500</v>
      </c>
      <c r="H66" s="85">
        <f>30/1.1317</f>
        <v>26.508792082707433</v>
      </c>
      <c r="I66" s="85">
        <f>500/1.1317</f>
        <v>441.81320137845722</v>
      </c>
      <c r="M66" s="2424" t="s">
        <v>873</v>
      </c>
    </row>
    <row r="67" spans="1:13" ht="83.25" customHeight="1" x14ac:dyDescent="0.25">
      <c r="A67" s="697" t="s">
        <v>477</v>
      </c>
      <c r="B67" s="1038" t="s">
        <v>478</v>
      </c>
      <c r="C67" s="648" t="s">
        <v>790</v>
      </c>
      <c r="D67" s="1035" t="s">
        <v>480</v>
      </c>
      <c r="E67" s="1035" t="s">
        <v>480</v>
      </c>
      <c r="F67" s="943">
        <f t="shared" si="5"/>
        <v>6627.1980206768585</v>
      </c>
      <c r="G67" s="911">
        <f>Workings!T139</f>
        <v>7500</v>
      </c>
      <c r="H67" s="85">
        <f>4360/1.1317</f>
        <v>3852.6111160201467</v>
      </c>
      <c r="I67" s="85">
        <f>3000/1.1317</f>
        <v>2650.8792082707432</v>
      </c>
      <c r="J67" s="85">
        <f>1400/1.1317</f>
        <v>1237.0769638596803</v>
      </c>
      <c r="K67" s="85">
        <f>120/1.1317</f>
        <v>106.03516833082973</v>
      </c>
      <c r="M67" s="2424" t="s">
        <v>1063</v>
      </c>
    </row>
    <row r="68" spans="1:13" ht="99" customHeight="1" x14ac:dyDescent="0.25">
      <c r="A68" s="670" t="s">
        <v>481</v>
      </c>
      <c r="B68" s="1038" t="s">
        <v>482</v>
      </c>
      <c r="C68" s="648" t="s">
        <v>791</v>
      </c>
      <c r="D68" s="1035" t="s">
        <v>483</v>
      </c>
      <c r="E68" s="1035" t="s">
        <v>483</v>
      </c>
      <c r="F68" s="943">
        <f t="shared" si="5"/>
        <v>8836.2640275691447</v>
      </c>
      <c r="G68" s="911">
        <f>Workings!T140</f>
        <v>10000</v>
      </c>
      <c r="H68" s="85">
        <f>25/1.1317</f>
        <v>22.090660068922862</v>
      </c>
      <c r="I68" s="85">
        <f>500/1.1317</f>
        <v>441.81320137845722</v>
      </c>
      <c r="J68" s="85">
        <f>1250/1.1317</f>
        <v>1104.5330034461431</v>
      </c>
      <c r="M68" s="2424" t="s">
        <v>483</v>
      </c>
    </row>
    <row r="69" spans="1:13" ht="51.75" customHeight="1" x14ac:dyDescent="0.25">
      <c r="A69" s="697" t="s">
        <v>118</v>
      </c>
      <c r="B69" s="1040" t="s">
        <v>712</v>
      </c>
      <c r="C69" s="648" t="s">
        <v>792</v>
      </c>
      <c r="D69" s="908" t="s">
        <v>713</v>
      </c>
      <c r="E69" s="908" t="s">
        <v>713</v>
      </c>
      <c r="F69" s="943">
        <f t="shared" si="5"/>
        <v>4771.5825748873376</v>
      </c>
      <c r="G69" s="911">
        <f>Workings!T141</f>
        <v>5400</v>
      </c>
      <c r="H69" s="85">
        <f>180/1.1317</f>
        <v>159.05275249624461</v>
      </c>
      <c r="M69" s="2424" t="s">
        <v>713</v>
      </c>
    </row>
    <row r="70" spans="1:13" ht="51.75" customHeight="1" x14ac:dyDescent="0.25">
      <c r="A70" s="697" t="s">
        <v>1084</v>
      </c>
      <c r="B70" s="1040" t="s">
        <v>1082</v>
      </c>
      <c r="C70" s="1087" t="s">
        <v>1104</v>
      </c>
      <c r="D70" s="1667"/>
      <c r="E70" s="1667"/>
      <c r="F70" s="943">
        <f t="shared" si="5"/>
        <v>15175.399840947248</v>
      </c>
      <c r="G70" s="1668">
        <f>Workings!T142</f>
        <v>17174</v>
      </c>
      <c r="H70" s="85">
        <f>858.7/1.1317</f>
        <v>758.76999204736251</v>
      </c>
      <c r="M70" s="2424" t="s">
        <v>1083</v>
      </c>
    </row>
    <row r="71" spans="1:13" ht="53.25" customHeight="1" x14ac:dyDescent="0.25">
      <c r="A71" s="697" t="s">
        <v>980</v>
      </c>
      <c r="B71" s="1041" t="s">
        <v>484</v>
      </c>
      <c r="C71" s="648" t="s">
        <v>793</v>
      </c>
      <c r="D71" s="906" t="s">
        <v>485</v>
      </c>
      <c r="E71" s="906" t="s">
        <v>485</v>
      </c>
      <c r="F71" s="943">
        <f t="shared" si="5"/>
        <v>742.24617831580815</v>
      </c>
      <c r="G71" s="911">
        <f>Workings!T143</f>
        <v>840</v>
      </c>
      <c r="H71" s="85">
        <f>210/1.1317</f>
        <v>185.56154457895204</v>
      </c>
      <c r="M71" s="2424" t="s">
        <v>485</v>
      </c>
    </row>
    <row r="72" spans="1:13" ht="53.25" customHeight="1" thickBot="1" x14ac:dyDescent="0.3">
      <c r="A72" s="972" t="s">
        <v>123</v>
      </c>
      <c r="B72" s="1042" t="s">
        <v>548</v>
      </c>
      <c r="C72" s="648" t="s">
        <v>794</v>
      </c>
      <c r="D72" s="1054"/>
      <c r="E72" s="1036"/>
      <c r="F72" s="943">
        <f t="shared" si="5"/>
        <v>38696.942652646467</v>
      </c>
      <c r="G72" s="911">
        <f>Workings!T144</f>
        <v>43793.33</v>
      </c>
      <c r="H72" s="85">
        <f>21896.67/1.1317</f>
        <v>19348.475744455245</v>
      </c>
      <c r="M72" s="2424" t="s">
        <v>1077</v>
      </c>
    </row>
    <row r="73" spans="1:13" ht="88.5" customHeight="1" x14ac:dyDescent="0.25">
      <c r="A73" s="697" t="s">
        <v>131</v>
      </c>
      <c r="B73" s="1041" t="s">
        <v>599</v>
      </c>
      <c r="C73" s="709" t="s">
        <v>795</v>
      </c>
      <c r="D73" s="906" t="s">
        <v>768</v>
      </c>
      <c r="E73" s="906" t="s">
        <v>768</v>
      </c>
      <c r="F73" s="943">
        <f t="shared" si="5"/>
        <v>90810.285411328092</v>
      </c>
      <c r="G73" s="911">
        <f>Workings!T147</f>
        <v>102770</v>
      </c>
      <c r="H73" s="85">
        <f>90/1.1317</f>
        <v>79.526376248122304</v>
      </c>
      <c r="I73" s="85">
        <f>4000/1.1317</f>
        <v>3534.5056110276578</v>
      </c>
      <c r="J73" s="85">
        <f>5170/1.1317</f>
        <v>4568.3485022532477</v>
      </c>
      <c r="M73" s="2424" t="s">
        <v>768</v>
      </c>
    </row>
    <row r="74" spans="1:13" ht="81" customHeight="1" x14ac:dyDescent="0.25">
      <c r="A74" s="670" t="s">
        <v>132</v>
      </c>
      <c r="B74" s="1038" t="s">
        <v>133</v>
      </c>
      <c r="C74" s="648" t="s">
        <v>401</v>
      </c>
      <c r="D74" s="1034" t="s">
        <v>600</v>
      </c>
      <c r="E74" s="1034" t="s">
        <v>600</v>
      </c>
      <c r="F74" s="943">
        <f t="shared" si="5"/>
        <v>4986.303790757268</v>
      </c>
      <c r="G74" s="911">
        <f>Workings!T148</f>
        <v>5643</v>
      </c>
      <c r="H74" s="85">
        <f>40/1.1317</f>
        <v>35.34505611027658</v>
      </c>
      <c r="I74" s="85">
        <f>400/1.1317</f>
        <v>353.45056110276579</v>
      </c>
      <c r="M74" s="2424" t="s">
        <v>600</v>
      </c>
    </row>
    <row r="75" spans="1:13" ht="84" customHeight="1" x14ac:dyDescent="0.25">
      <c r="A75" s="697" t="s">
        <v>135</v>
      </c>
      <c r="B75" s="1041" t="s">
        <v>136</v>
      </c>
      <c r="C75" s="648" t="s">
        <v>342</v>
      </c>
      <c r="D75" s="906" t="s">
        <v>769</v>
      </c>
      <c r="E75" s="906" t="s">
        <v>769</v>
      </c>
      <c r="F75" s="943">
        <f t="shared" si="5"/>
        <v>21834.408412123357</v>
      </c>
      <c r="G75" s="911">
        <f>Workings!T149</f>
        <v>24710</v>
      </c>
      <c r="H75" s="85">
        <f>40/1.1317</f>
        <v>35.34505611027658</v>
      </c>
      <c r="I75" s="85">
        <f>400/1.1317</f>
        <v>353.45056110276579</v>
      </c>
      <c r="J75" s="85">
        <f>710/1.1317</f>
        <v>627.37474595740923</v>
      </c>
      <c r="M75" s="2424" t="s">
        <v>769</v>
      </c>
    </row>
    <row r="76" spans="1:13" ht="69.75" customHeight="1" x14ac:dyDescent="0.25">
      <c r="A76" s="670" t="s">
        <v>135</v>
      </c>
      <c r="B76" s="650" t="s">
        <v>802</v>
      </c>
      <c r="C76" s="648" t="s">
        <v>796</v>
      </c>
      <c r="D76" s="908" t="s">
        <v>891</v>
      </c>
      <c r="E76" s="908" t="s">
        <v>891</v>
      </c>
      <c r="F76" s="943">
        <f t="shared" si="5"/>
        <v>17517.893434655827</v>
      </c>
      <c r="G76" s="911">
        <f>Workings!T150</f>
        <v>19825</v>
      </c>
      <c r="H76" s="85">
        <f>30/1.1317</f>
        <v>26.508792082707433</v>
      </c>
      <c r="I76" s="85">
        <f>15325/1.1317</f>
        <v>13541.574622249713</v>
      </c>
      <c r="M76" s="2424" t="s">
        <v>891</v>
      </c>
    </row>
    <row r="77" spans="1:13" ht="68.25" customHeight="1" x14ac:dyDescent="0.25">
      <c r="A77" s="670" t="s">
        <v>672</v>
      </c>
      <c r="B77" s="650" t="s">
        <v>673</v>
      </c>
      <c r="C77" s="648" t="s">
        <v>797</v>
      </c>
      <c r="D77" s="908" t="s">
        <v>803</v>
      </c>
      <c r="E77" s="908" t="s">
        <v>803</v>
      </c>
      <c r="F77" s="943">
        <f t="shared" si="5"/>
        <v>7952.6376248122297</v>
      </c>
      <c r="G77" s="911">
        <f>Workings!T151</f>
        <v>9000</v>
      </c>
      <c r="H77" s="85">
        <f>400/1.1317</f>
        <v>353.45056110276579</v>
      </c>
      <c r="I77" s="85">
        <f>2600/1.1317</f>
        <v>2297.4286471679775</v>
      </c>
      <c r="M77" s="2424" t="s">
        <v>803</v>
      </c>
    </row>
    <row r="78" spans="1:13" ht="64.5" customHeight="1" x14ac:dyDescent="0.25">
      <c r="A78" s="670" t="s">
        <v>141</v>
      </c>
      <c r="B78" s="1038" t="s">
        <v>601</v>
      </c>
      <c r="C78" s="648" t="s">
        <v>359</v>
      </c>
      <c r="D78" s="906" t="s">
        <v>602</v>
      </c>
      <c r="E78" s="906" t="s">
        <v>602</v>
      </c>
      <c r="F78" s="943">
        <f t="shared" si="5"/>
        <v>9740.2138375894683</v>
      </c>
      <c r="G78" s="911">
        <f>Workings!T153</f>
        <v>11023</v>
      </c>
      <c r="H78" s="85">
        <f>400/1.1317</f>
        <v>353.45056110276579</v>
      </c>
      <c r="I78" s="85">
        <f>623/1.1317</f>
        <v>550.49924891755768</v>
      </c>
      <c r="M78" s="2424" t="s">
        <v>602</v>
      </c>
    </row>
    <row r="79" spans="1:13" ht="68.25" customHeight="1" x14ac:dyDescent="0.25">
      <c r="A79" s="670" t="s">
        <v>143</v>
      </c>
      <c r="B79" s="1038" t="s">
        <v>144</v>
      </c>
      <c r="C79" s="648" t="s">
        <v>402</v>
      </c>
      <c r="D79" s="1034" t="s">
        <v>603</v>
      </c>
      <c r="E79" s="1034" t="s">
        <v>603</v>
      </c>
      <c r="F79" s="943">
        <f t="shared" si="5"/>
        <v>2756.9143766015732</v>
      </c>
      <c r="G79" s="911">
        <f>Workings!T154</f>
        <v>3120</v>
      </c>
      <c r="H79" s="85">
        <f>40/1.1317</f>
        <v>35.34505611027658</v>
      </c>
      <c r="I79" s="85">
        <f>1040/1.1317</f>
        <v>918.97145886719102</v>
      </c>
      <c r="M79" s="2424" t="s">
        <v>603</v>
      </c>
    </row>
    <row r="80" spans="1:13" ht="135.75" customHeight="1" x14ac:dyDescent="0.25">
      <c r="A80" s="697" t="s">
        <v>146</v>
      </c>
      <c r="B80" s="1041" t="s">
        <v>604</v>
      </c>
      <c r="C80" s="648" t="s">
        <v>403</v>
      </c>
      <c r="D80" s="906" t="s">
        <v>770</v>
      </c>
      <c r="E80" s="906" t="s">
        <v>770</v>
      </c>
      <c r="F80" s="943">
        <f t="shared" si="5"/>
        <v>24321.816735884069</v>
      </c>
      <c r="G80" s="911">
        <f>Workings!T155</f>
        <v>27525</v>
      </c>
      <c r="H80" s="85">
        <f>250/1.1317</f>
        <v>220.90660068922861</v>
      </c>
      <c r="I80" s="85">
        <f>793.75/1.1317</f>
        <v>701.37845718830079</v>
      </c>
      <c r="M80" s="2424" t="s">
        <v>1052</v>
      </c>
    </row>
    <row r="81" spans="1:13" ht="84" customHeight="1" thickBot="1" x14ac:dyDescent="0.3">
      <c r="A81" s="698" t="s">
        <v>150</v>
      </c>
      <c r="B81" s="1043" t="s">
        <v>605</v>
      </c>
      <c r="C81" s="648" t="s">
        <v>798</v>
      </c>
      <c r="D81" s="973" t="s">
        <v>606</v>
      </c>
      <c r="E81" s="1036" t="s">
        <v>606</v>
      </c>
      <c r="F81" s="943">
        <f t="shared" si="5"/>
        <v>9092.5156843686491</v>
      </c>
      <c r="G81" s="911">
        <f>Workings!T157</f>
        <v>10290</v>
      </c>
      <c r="H81" s="85">
        <f>90/1.1317</f>
        <v>79.526376248122304</v>
      </c>
      <c r="I81" s="85">
        <f>840/1.1317</f>
        <v>742.24617831580815</v>
      </c>
      <c r="M81" s="2424" t="s">
        <v>606</v>
      </c>
    </row>
    <row r="82" spans="1:13" ht="84" customHeight="1" x14ac:dyDescent="0.25">
      <c r="A82" s="1037" t="s">
        <v>486</v>
      </c>
      <c r="B82" s="1038" t="s">
        <v>674</v>
      </c>
      <c r="C82" s="669" t="s">
        <v>804</v>
      </c>
      <c r="D82" s="1055" t="s">
        <v>675</v>
      </c>
      <c r="E82" s="1035" t="s">
        <v>675</v>
      </c>
      <c r="F82" s="943">
        <f t="shared" si="5"/>
        <v>2209.0660068922862</v>
      </c>
      <c r="G82" s="911">
        <f>Workings!T159</f>
        <v>2500</v>
      </c>
      <c r="H82" s="85">
        <f>500/1.1317</f>
        <v>441.81320137845722</v>
      </c>
      <c r="M82" s="2424" t="s">
        <v>675</v>
      </c>
    </row>
    <row r="83" spans="1:13" ht="55.5" customHeight="1" thickBot="1" x14ac:dyDescent="0.3">
      <c r="A83" s="1039" t="s">
        <v>487</v>
      </c>
      <c r="B83" s="1038" t="s">
        <v>488</v>
      </c>
      <c r="C83" s="648" t="s">
        <v>799</v>
      </c>
      <c r="D83" s="1034" t="s">
        <v>771</v>
      </c>
      <c r="E83" s="1034" t="s">
        <v>771</v>
      </c>
      <c r="F83" s="943">
        <f t="shared" si="5"/>
        <v>5703.8084297958831</v>
      </c>
      <c r="G83" s="911">
        <f>Workings!T160</f>
        <v>6455</v>
      </c>
      <c r="H83" s="85">
        <f>40/1.1317</f>
        <v>35.34505611027658</v>
      </c>
      <c r="I83" s="85">
        <f>1655/1.1317</f>
        <v>1462.4016965626934</v>
      </c>
      <c r="M83" s="2424" t="s">
        <v>1053</v>
      </c>
    </row>
    <row r="84" spans="1:13" ht="36" customHeight="1" thickBot="1" x14ac:dyDescent="0.3">
      <c r="A84" s="696"/>
      <c r="B84" s="810" t="s">
        <v>341</v>
      </c>
      <c r="C84" s="810"/>
      <c r="D84" s="1016"/>
      <c r="E84" s="1016"/>
      <c r="F84" s="915">
        <f>SUM(F61:F83)</f>
        <v>389016.81541044457</v>
      </c>
      <c r="G84" s="915">
        <f>SUM(G61:G83)</f>
        <v>440250.33</v>
      </c>
      <c r="M84" s="2424"/>
    </row>
    <row r="85" spans="1:13" ht="18" x14ac:dyDescent="0.25">
      <c r="A85" s="696"/>
      <c r="B85" s="709"/>
      <c r="C85" s="709"/>
      <c r="D85" s="1014"/>
      <c r="E85" s="1070"/>
      <c r="F85" s="941"/>
      <c r="G85" s="914"/>
      <c r="M85" s="2424"/>
    </row>
    <row r="86" spans="1:13" ht="36" customHeight="1" x14ac:dyDescent="0.25">
      <c r="A86" s="651"/>
      <c r="B86" s="2757" t="s">
        <v>156</v>
      </c>
      <c r="C86" s="2758"/>
      <c r="D86" s="2759"/>
      <c r="E86" s="2759"/>
      <c r="F86" s="948"/>
      <c r="G86" s="911"/>
      <c r="M86" s="2424"/>
    </row>
    <row r="87" spans="1:13" ht="53.25" customHeight="1" x14ac:dyDescent="0.25">
      <c r="A87" s="695">
        <v>3.1</v>
      </c>
      <c r="B87" s="655" t="s">
        <v>157</v>
      </c>
      <c r="C87" s="648"/>
      <c r="D87" s="652"/>
      <c r="E87" s="652"/>
      <c r="F87" s="948"/>
      <c r="G87" s="911"/>
      <c r="M87" s="2424"/>
    </row>
    <row r="88" spans="1:13" ht="127.5" customHeight="1" x14ac:dyDescent="0.25">
      <c r="A88" s="651" t="s">
        <v>158</v>
      </c>
      <c r="B88" s="648" t="s">
        <v>336</v>
      </c>
      <c r="C88" s="648" t="s">
        <v>404</v>
      </c>
      <c r="D88" s="917" t="s">
        <v>889</v>
      </c>
      <c r="E88" s="917" t="s">
        <v>889</v>
      </c>
      <c r="F88" s="943">
        <f>G88/1.1317</f>
        <v>122647.34470265973</v>
      </c>
      <c r="G88" s="911">
        <f>Workings!T167</f>
        <v>138800</v>
      </c>
      <c r="H88" s="85">
        <f>170/1.1317</f>
        <v>150.21648846867546</v>
      </c>
      <c r="I88" s="85">
        <f>11300/1.1317</f>
        <v>9984.9783511531332</v>
      </c>
      <c r="M88" s="2424" t="s">
        <v>889</v>
      </c>
    </row>
    <row r="89" spans="1:13" ht="56.25" customHeight="1" thickBot="1" x14ac:dyDescent="0.3">
      <c r="A89" s="685" t="s">
        <v>489</v>
      </c>
      <c r="B89" s="669" t="s">
        <v>490</v>
      </c>
      <c r="C89" s="669" t="s">
        <v>805</v>
      </c>
      <c r="D89" s="1035" t="s">
        <v>761</v>
      </c>
      <c r="E89" s="1035" t="s">
        <v>761</v>
      </c>
      <c r="F89" s="943">
        <f>G89/1.1317</f>
        <v>4418.1320137845723</v>
      </c>
      <c r="G89" s="911">
        <f>Workings!T168</f>
        <v>5000</v>
      </c>
      <c r="H89" s="85">
        <f>500/1.1317</f>
        <v>441.81320137845722</v>
      </c>
      <c r="M89" s="2424" t="s">
        <v>761</v>
      </c>
    </row>
    <row r="90" spans="1:13" ht="30.75" customHeight="1" thickBot="1" x14ac:dyDescent="0.3">
      <c r="A90" s="696"/>
      <c r="B90" s="916" t="s">
        <v>341</v>
      </c>
      <c r="C90" s="916"/>
      <c r="D90" s="1013"/>
      <c r="E90" s="1013"/>
      <c r="F90" s="915">
        <f>SUM(F88:F89)</f>
        <v>127065.4767164443</v>
      </c>
      <c r="G90" s="915">
        <f>SUM(G88:G89)</f>
        <v>143800</v>
      </c>
      <c r="M90" s="2414"/>
    </row>
    <row r="91" spans="1:13" ht="18" x14ac:dyDescent="0.25">
      <c r="A91" s="696"/>
      <c r="B91" s="913" t="s">
        <v>33</v>
      </c>
      <c r="C91" s="913"/>
      <c r="D91" s="1014"/>
      <c r="E91" s="1070"/>
      <c r="F91" s="941"/>
      <c r="G91" s="914"/>
      <c r="M91" s="2417"/>
    </row>
    <row r="92" spans="1:13" ht="43.5" customHeight="1" x14ac:dyDescent="0.3">
      <c r="A92" s="700">
        <v>4</v>
      </c>
      <c r="B92" s="2757" t="s">
        <v>160</v>
      </c>
      <c r="C92" s="2758"/>
      <c r="D92" s="2759"/>
      <c r="E92" s="2759"/>
      <c r="F92" s="948"/>
      <c r="G92" s="911"/>
      <c r="M92" s="2417"/>
    </row>
    <row r="93" spans="1:13" ht="88.5" customHeight="1" x14ac:dyDescent="0.25">
      <c r="A93" s="695">
        <v>4.0999999999999996</v>
      </c>
      <c r="B93" s="655" t="s">
        <v>550</v>
      </c>
      <c r="C93" s="655"/>
      <c r="D93" s="1019"/>
      <c r="E93" s="1019"/>
      <c r="F93" s="948"/>
      <c r="G93" s="911"/>
      <c r="M93" s="2417"/>
    </row>
    <row r="94" spans="1:13" ht="112.5" customHeight="1" x14ac:dyDescent="0.25">
      <c r="A94" s="701" t="s">
        <v>551</v>
      </c>
      <c r="B94" s="669" t="s">
        <v>714</v>
      </c>
      <c r="C94" s="648" t="s">
        <v>343</v>
      </c>
      <c r="D94" s="917" t="s">
        <v>772</v>
      </c>
      <c r="E94" s="917" t="s">
        <v>772</v>
      </c>
      <c r="F94" s="943">
        <f>G94/1.1317</f>
        <v>4241.4067332331897</v>
      </c>
      <c r="G94" s="911">
        <f>Workings!T175</f>
        <v>4800</v>
      </c>
      <c r="H94" s="85">
        <f>20/1.1317</f>
        <v>17.67252805513829</v>
      </c>
      <c r="M94" s="2424" t="s">
        <v>1065</v>
      </c>
    </row>
    <row r="95" spans="1:13" ht="64.5" customHeight="1" x14ac:dyDescent="0.25">
      <c r="A95" s="674" t="s">
        <v>491</v>
      </c>
      <c r="B95" s="671" t="s">
        <v>365</v>
      </c>
      <c r="C95" s="648" t="s">
        <v>806</v>
      </c>
      <c r="D95" s="1034" t="s">
        <v>727</v>
      </c>
      <c r="E95" s="1034" t="s">
        <v>727</v>
      </c>
      <c r="F95" s="943">
        <f t="shared" ref="F95:F115" si="6">G95/1.1317</f>
        <v>184713.26323230538</v>
      </c>
      <c r="G95" s="911">
        <f>Workings!T176</f>
        <v>209040</v>
      </c>
      <c r="H95" s="85">
        <f>4520/1.1317</f>
        <v>3993.9913404612535</v>
      </c>
      <c r="I95" s="85">
        <f>1740/1.1317</f>
        <v>1537.509940797031</v>
      </c>
      <c r="M95" s="2424" t="s">
        <v>727</v>
      </c>
    </row>
    <row r="96" spans="1:13" ht="59.25" customHeight="1" x14ac:dyDescent="0.25">
      <c r="A96" s="674" t="s">
        <v>492</v>
      </c>
      <c r="B96" s="671" t="s">
        <v>366</v>
      </c>
      <c r="C96" s="648" t="s">
        <v>807</v>
      </c>
      <c r="D96" s="1034" t="s">
        <v>676</v>
      </c>
      <c r="E96" s="1034" t="s">
        <v>676</v>
      </c>
      <c r="F96" s="943">
        <f t="shared" si="6"/>
        <v>271168.15410444466</v>
      </c>
      <c r="G96" s="911">
        <f>Workings!T177</f>
        <v>306881</v>
      </c>
      <c r="H96" s="85">
        <f>6550/1.1317</f>
        <v>5787.7529380577898</v>
      </c>
      <c r="M96" s="2424" t="s">
        <v>676</v>
      </c>
    </row>
    <row r="97" spans="1:13" ht="67.5" customHeight="1" x14ac:dyDescent="0.25">
      <c r="A97" s="674" t="s">
        <v>493</v>
      </c>
      <c r="B97" s="671" t="s">
        <v>808</v>
      </c>
      <c r="C97" s="648" t="s">
        <v>809</v>
      </c>
      <c r="D97" s="1034" t="s">
        <v>677</v>
      </c>
      <c r="E97" s="1034" t="s">
        <v>677</v>
      </c>
      <c r="F97" s="943">
        <f t="shared" si="6"/>
        <v>12781.655915878768</v>
      </c>
      <c r="G97" s="911">
        <f>Workings!T178</f>
        <v>14465</v>
      </c>
      <c r="H97" s="85">
        <f>400/1.1317</f>
        <v>353.45056110276579</v>
      </c>
      <c r="I97" s="85">
        <f>374/1.1317</f>
        <v>330.47627463108597</v>
      </c>
      <c r="M97" s="2424" t="s">
        <v>677</v>
      </c>
    </row>
    <row r="98" spans="1:13" ht="107.25" customHeight="1" x14ac:dyDescent="0.25">
      <c r="A98" s="674" t="s">
        <v>494</v>
      </c>
      <c r="B98" s="671" t="s">
        <v>608</v>
      </c>
      <c r="C98" s="648" t="s">
        <v>405</v>
      </c>
      <c r="D98" s="1034" t="s">
        <v>773</v>
      </c>
      <c r="E98" s="1034" t="s">
        <v>773</v>
      </c>
      <c r="F98" s="943">
        <f t="shared" si="6"/>
        <v>19348.475744455245</v>
      </c>
      <c r="G98" s="911">
        <f>Workings!T179</f>
        <v>21896.67</v>
      </c>
      <c r="H98" s="85">
        <f>21896/1.1317</f>
        <v>19347.883714765398</v>
      </c>
      <c r="M98" s="2424" t="s">
        <v>773</v>
      </c>
    </row>
    <row r="99" spans="1:13" ht="61.5" customHeight="1" x14ac:dyDescent="0.25">
      <c r="A99" s="674" t="s">
        <v>495</v>
      </c>
      <c r="B99" s="671" t="s">
        <v>496</v>
      </c>
      <c r="C99" s="648" t="s">
        <v>810</v>
      </c>
      <c r="D99" s="1034" t="s">
        <v>497</v>
      </c>
      <c r="E99" s="1034" t="s">
        <v>497</v>
      </c>
      <c r="F99" s="943">
        <f t="shared" si="6"/>
        <v>51974.90501016171</v>
      </c>
      <c r="G99" s="911">
        <f>Workings!T180</f>
        <v>58820</v>
      </c>
      <c r="H99" s="85">
        <f>29410.04/1.1317</f>
        <v>25987.487850136964</v>
      </c>
      <c r="M99" s="2424" t="s">
        <v>497</v>
      </c>
    </row>
    <row r="100" spans="1:13" ht="97.5" customHeight="1" x14ac:dyDescent="0.25">
      <c r="A100" s="672" t="s">
        <v>164</v>
      </c>
      <c r="B100" s="673" t="s">
        <v>165</v>
      </c>
      <c r="C100" s="648" t="s">
        <v>406</v>
      </c>
      <c r="D100" s="1034" t="s">
        <v>609</v>
      </c>
      <c r="E100" s="1034" t="s">
        <v>609</v>
      </c>
      <c r="F100" s="943">
        <f t="shared" si="6"/>
        <v>1369.6209242732173</v>
      </c>
      <c r="G100" s="911">
        <f>Workings!T181</f>
        <v>1550</v>
      </c>
      <c r="H100" s="85">
        <f>777.5/1.1317</f>
        <v>687.01952814350102</v>
      </c>
      <c r="M100" s="2424" t="s">
        <v>609</v>
      </c>
    </row>
    <row r="101" spans="1:13" ht="97.5" customHeight="1" x14ac:dyDescent="0.25">
      <c r="A101" s="674" t="s">
        <v>174</v>
      </c>
      <c r="B101" s="671" t="s">
        <v>175</v>
      </c>
      <c r="C101" s="648" t="s">
        <v>407</v>
      </c>
      <c r="D101" s="1034" t="s">
        <v>774</v>
      </c>
      <c r="E101" s="1034" t="s">
        <v>774</v>
      </c>
      <c r="F101" s="943">
        <f t="shared" si="6"/>
        <v>13431.121321905099</v>
      </c>
      <c r="G101" s="911">
        <f>Workings!T184</f>
        <v>15200</v>
      </c>
      <c r="H101" s="85">
        <f>750/1.1317</f>
        <v>662.71980206768581</v>
      </c>
      <c r="I101" s="85">
        <f>1000/1.1317</f>
        <v>883.62640275691444</v>
      </c>
      <c r="J101" s="85">
        <f>2050/1.1317</f>
        <v>1811.4341256516745</v>
      </c>
      <c r="M101" s="2424" t="s">
        <v>774</v>
      </c>
    </row>
    <row r="102" spans="1:13" ht="115.5" customHeight="1" x14ac:dyDescent="0.25">
      <c r="A102" s="672" t="s">
        <v>177</v>
      </c>
      <c r="B102" s="673" t="s">
        <v>178</v>
      </c>
      <c r="C102" s="648" t="s">
        <v>344</v>
      </c>
      <c r="D102" s="906" t="s">
        <v>610</v>
      </c>
      <c r="E102" s="906" t="s">
        <v>610</v>
      </c>
      <c r="F102" s="943">
        <f t="shared" si="6"/>
        <v>16797.737916408943</v>
      </c>
      <c r="G102" s="911">
        <f>Workings!T185</f>
        <v>19010</v>
      </c>
      <c r="H102" s="85">
        <f>14530/1.1317</f>
        <v>12839.091632057967</v>
      </c>
      <c r="I102" s="85">
        <f>920/1.1317</f>
        <v>812.9362905363613</v>
      </c>
      <c r="J102" s="85">
        <f>10/1.1317</f>
        <v>8.8362640275691451</v>
      </c>
      <c r="K102" s="85">
        <f>100/1.1317</f>
        <v>88.362640275691447</v>
      </c>
      <c r="L102" s="85">
        <f>3000/1.1317</f>
        <v>2650.8792082707432</v>
      </c>
      <c r="M102" s="2424" t="s">
        <v>610</v>
      </c>
    </row>
    <row r="103" spans="1:13" ht="57.75" customHeight="1" x14ac:dyDescent="0.25">
      <c r="A103" s="674" t="s">
        <v>717</v>
      </c>
      <c r="B103" s="671" t="s">
        <v>715</v>
      </c>
      <c r="C103" s="925" t="s">
        <v>811</v>
      </c>
      <c r="D103" s="1035" t="s">
        <v>716</v>
      </c>
      <c r="E103" s="1035" t="s">
        <v>716</v>
      </c>
      <c r="F103" s="943">
        <f t="shared" si="6"/>
        <v>8836.2640275691447</v>
      </c>
      <c r="G103" s="911">
        <f>Workings!T186</f>
        <v>10000</v>
      </c>
      <c r="H103" s="85">
        <f>5000/1.1317</f>
        <v>4418.1320137845723</v>
      </c>
      <c r="M103" s="2424" t="s">
        <v>716</v>
      </c>
    </row>
    <row r="104" spans="1:13" ht="54" customHeight="1" x14ac:dyDescent="0.25">
      <c r="A104" s="674" t="s">
        <v>180</v>
      </c>
      <c r="B104" s="671" t="s">
        <v>498</v>
      </c>
      <c r="C104" s="648" t="s">
        <v>812</v>
      </c>
      <c r="D104" s="1034" t="s">
        <v>775</v>
      </c>
      <c r="E104" s="1034" t="s">
        <v>775</v>
      </c>
      <c r="F104" s="943">
        <f t="shared" si="6"/>
        <v>22753.379870990546</v>
      </c>
      <c r="G104" s="911">
        <f>Workings!T187</f>
        <v>25750</v>
      </c>
      <c r="H104" s="85">
        <f>25750/1.1317</f>
        <v>22753.379870990546</v>
      </c>
      <c r="M104" s="2424" t="s">
        <v>1069</v>
      </c>
    </row>
    <row r="105" spans="1:13" ht="76.5" customHeight="1" x14ac:dyDescent="0.25">
      <c r="A105" s="689" t="s">
        <v>499</v>
      </c>
      <c r="B105" s="671" t="s">
        <v>866</v>
      </c>
      <c r="C105" s="648" t="s">
        <v>814</v>
      </c>
      <c r="D105" s="1034" t="s">
        <v>874</v>
      </c>
      <c r="E105" s="1034" t="s">
        <v>874</v>
      </c>
      <c r="F105" s="943">
        <f t="shared" si="6"/>
        <v>49918.706370946369</v>
      </c>
      <c r="G105" s="911">
        <f>Workings!T189</f>
        <v>56493</v>
      </c>
      <c r="H105" s="85">
        <f>170/1.1317</f>
        <v>150.21648846867546</v>
      </c>
      <c r="I105" s="85">
        <f>3453/1.1317</f>
        <v>3051.1619687196257</v>
      </c>
      <c r="M105" s="2424" t="s">
        <v>874</v>
      </c>
    </row>
    <row r="106" spans="1:13" ht="68.25" customHeight="1" thickBot="1" x14ac:dyDescent="0.3">
      <c r="A106" s="970" t="s">
        <v>500</v>
      </c>
      <c r="B106" s="957" t="s">
        <v>863</v>
      </c>
      <c r="C106" s="648" t="s">
        <v>813</v>
      </c>
      <c r="D106" s="1036" t="s">
        <v>723</v>
      </c>
      <c r="E106" s="1036" t="s">
        <v>723</v>
      </c>
      <c r="F106" s="943">
        <f t="shared" si="6"/>
        <v>38182.38048952903</v>
      </c>
      <c r="G106" s="911">
        <f>Workings!T190</f>
        <v>43211</v>
      </c>
      <c r="H106" s="85">
        <f>600/1.1317</f>
        <v>530.17584165414871</v>
      </c>
      <c r="I106" s="85">
        <f>7211/1.1317</f>
        <v>6371.82999028011</v>
      </c>
      <c r="M106" s="2424" t="s">
        <v>1054</v>
      </c>
    </row>
    <row r="107" spans="1:13" ht="51.75" customHeight="1" x14ac:dyDescent="0.25">
      <c r="A107" s="702" t="s">
        <v>501</v>
      </c>
      <c r="B107" s="673" t="s">
        <v>502</v>
      </c>
      <c r="C107" s="709" t="s">
        <v>815</v>
      </c>
      <c r="D107" s="1044" t="s">
        <v>776</v>
      </c>
      <c r="E107" s="1044" t="s">
        <v>776</v>
      </c>
      <c r="F107" s="943">
        <f t="shared" si="6"/>
        <v>4153.0440929574979</v>
      </c>
      <c r="G107" s="911">
        <f>Workings!T191</f>
        <v>4700</v>
      </c>
      <c r="H107" s="85">
        <f>20/1.1317</f>
        <v>17.67252805513829</v>
      </c>
      <c r="M107" s="2424" t="s">
        <v>776</v>
      </c>
    </row>
    <row r="108" spans="1:13" ht="84" customHeight="1" x14ac:dyDescent="0.25">
      <c r="A108" s="702" t="s">
        <v>503</v>
      </c>
      <c r="B108" s="673" t="s">
        <v>867</v>
      </c>
      <c r="C108" s="648" t="s">
        <v>816</v>
      </c>
      <c r="D108" s="906" t="s">
        <v>865</v>
      </c>
      <c r="E108" s="906" t="s">
        <v>865</v>
      </c>
      <c r="F108" s="943">
        <f t="shared" si="6"/>
        <v>39763.188124061147</v>
      </c>
      <c r="G108" s="911">
        <f>Workings!T192</f>
        <v>45000</v>
      </c>
      <c r="H108" s="85">
        <f>600/1.1317</f>
        <v>530.17584165414871</v>
      </c>
      <c r="I108" s="85">
        <f>10000/1.1317</f>
        <v>8836.2640275691447</v>
      </c>
      <c r="J108" s="85">
        <f>5000/1.1317</f>
        <v>4418.1320137845723</v>
      </c>
      <c r="M108" s="2424" t="s">
        <v>865</v>
      </c>
    </row>
    <row r="109" spans="1:13" ht="120" customHeight="1" x14ac:dyDescent="0.25">
      <c r="A109" s="689" t="s">
        <v>678</v>
      </c>
      <c r="B109" s="671" t="s">
        <v>679</v>
      </c>
      <c r="C109" s="648" t="s">
        <v>817</v>
      </c>
      <c r="D109" s="1035" t="s">
        <v>777</v>
      </c>
      <c r="E109" s="1035" t="s">
        <v>777</v>
      </c>
      <c r="F109" s="943">
        <f t="shared" si="6"/>
        <v>9852.434390739596</v>
      </c>
      <c r="G109" s="911">
        <f>Workings!T188</f>
        <v>11150</v>
      </c>
      <c r="H109" s="85">
        <f>500/1.1317</f>
        <v>441.81320137845722</v>
      </c>
      <c r="I109" s="85">
        <f>35/1.1317</f>
        <v>30.926924096492005</v>
      </c>
      <c r="J109" s="85">
        <f>8000/1.1317</f>
        <v>7069.0112220553156</v>
      </c>
    </row>
    <row r="110" spans="1:13" ht="57.75" customHeight="1" x14ac:dyDescent="0.25">
      <c r="A110" s="689" t="s">
        <v>505</v>
      </c>
      <c r="B110" s="671" t="s">
        <v>506</v>
      </c>
      <c r="C110" s="648" t="s">
        <v>818</v>
      </c>
      <c r="D110" s="1034" t="s">
        <v>778</v>
      </c>
      <c r="E110" s="1034" t="s">
        <v>778</v>
      </c>
      <c r="F110" s="943">
        <f t="shared" si="6"/>
        <v>16594.503843774852</v>
      </c>
      <c r="G110" s="911">
        <f>Workings!T195</f>
        <v>18780</v>
      </c>
      <c r="H110" s="85">
        <f>4693/1.1317</f>
        <v>4146.8587081381993</v>
      </c>
      <c r="M110" s="2424" t="s">
        <v>1055</v>
      </c>
    </row>
    <row r="111" spans="1:13" ht="66.75" customHeight="1" x14ac:dyDescent="0.25">
      <c r="A111" s="702" t="s">
        <v>680</v>
      </c>
      <c r="B111" s="673" t="s">
        <v>681</v>
      </c>
      <c r="C111" s="648" t="s">
        <v>819</v>
      </c>
      <c r="D111" s="908" t="s">
        <v>683</v>
      </c>
      <c r="E111" s="908" t="s">
        <v>683</v>
      </c>
      <c r="F111" s="943">
        <f t="shared" si="6"/>
        <v>4418.1320137845723</v>
      </c>
      <c r="G111" s="911">
        <f>Workings!T194</f>
        <v>5000</v>
      </c>
      <c r="H111" s="85">
        <f>5000/1.1317</f>
        <v>4418.1320137845723</v>
      </c>
      <c r="M111" s="2424" t="s">
        <v>683</v>
      </c>
    </row>
    <row r="112" spans="1:13" ht="49.5" customHeight="1" x14ac:dyDescent="0.25">
      <c r="A112" s="703" t="s">
        <v>507</v>
      </c>
      <c r="B112" s="704" t="s">
        <v>508</v>
      </c>
      <c r="C112" s="648" t="s">
        <v>820</v>
      </c>
      <c r="D112" s="1034" t="s">
        <v>509</v>
      </c>
      <c r="E112" s="1034" t="s">
        <v>509</v>
      </c>
      <c r="F112" s="943">
        <f t="shared" si="6"/>
        <v>11487.143235839887</v>
      </c>
      <c r="G112" s="911">
        <f>Workings!T196</f>
        <v>13000</v>
      </c>
      <c r="H112" s="85">
        <f>2166/1.1317</f>
        <v>1913.9347883714768</v>
      </c>
      <c r="M112" s="2424" t="s">
        <v>509</v>
      </c>
    </row>
    <row r="113" spans="1:13" ht="50.25" customHeight="1" x14ac:dyDescent="0.25">
      <c r="A113" s="674" t="s">
        <v>510</v>
      </c>
      <c r="B113" s="671" t="s">
        <v>718</v>
      </c>
      <c r="C113" s="648" t="s">
        <v>821</v>
      </c>
      <c r="D113" s="1034" t="s">
        <v>890</v>
      </c>
      <c r="E113" s="1034" t="s">
        <v>890</v>
      </c>
      <c r="F113" s="943">
        <f t="shared" si="6"/>
        <v>28470.442696827784</v>
      </c>
      <c r="G113" s="911">
        <f>Workings!T197</f>
        <v>32220</v>
      </c>
      <c r="H113" s="85">
        <f>8055/1.1317</f>
        <v>7117.610674206946</v>
      </c>
      <c r="M113" s="2424" t="s">
        <v>890</v>
      </c>
    </row>
    <row r="114" spans="1:13" ht="34.5" customHeight="1" x14ac:dyDescent="0.25">
      <c r="A114" s="689" t="s">
        <v>570</v>
      </c>
      <c r="B114" s="671" t="s">
        <v>684</v>
      </c>
      <c r="C114" s="648"/>
      <c r="D114" s="1035"/>
      <c r="E114" s="1035"/>
      <c r="F114" s="943">
        <f t="shared" si="6"/>
        <v>0</v>
      </c>
      <c r="G114" s="911">
        <f>Workings!T198</f>
        <v>0</v>
      </c>
      <c r="M114" s="2424"/>
    </row>
    <row r="115" spans="1:13" ht="44.25" customHeight="1" thickBot="1" x14ac:dyDescent="0.3">
      <c r="A115" s="674" t="s">
        <v>511</v>
      </c>
      <c r="B115" s="920" t="s">
        <v>512</v>
      </c>
      <c r="C115" s="669" t="s">
        <v>822</v>
      </c>
      <c r="D115" s="1034" t="s">
        <v>897</v>
      </c>
      <c r="E115" s="1034" t="s">
        <v>897</v>
      </c>
      <c r="F115" s="943">
        <f t="shared" si="6"/>
        <v>54130.953432888578</v>
      </c>
      <c r="G115" s="911">
        <f>Workings!T199</f>
        <v>61260</v>
      </c>
      <c r="H115" s="85">
        <f>1276/1.1317</f>
        <v>1127.5072899178228</v>
      </c>
      <c r="M115" s="2424" t="s">
        <v>897</v>
      </c>
    </row>
    <row r="116" spans="1:13" ht="36" customHeight="1" thickBot="1" x14ac:dyDescent="0.3">
      <c r="A116" s="705"/>
      <c r="B116" s="810" t="s">
        <v>341</v>
      </c>
      <c r="C116" s="810"/>
      <c r="D116" s="1016"/>
      <c r="E116" s="1016"/>
      <c r="F116" s="915">
        <f>SUM(F94:F115)</f>
        <v>864386.91349297529</v>
      </c>
      <c r="G116" s="915">
        <f>SUM(G94:G115)</f>
        <v>978226.67</v>
      </c>
    </row>
    <row r="117" spans="1:13" ht="31.5" customHeight="1" x14ac:dyDescent="0.25">
      <c r="A117" s="696"/>
      <c r="B117" s="912"/>
      <c r="C117" s="912"/>
      <c r="D117" s="1020"/>
      <c r="E117" s="1080"/>
      <c r="F117" s="941"/>
      <c r="G117" s="914"/>
    </row>
    <row r="118" spans="1:13" ht="55.5" customHeight="1" x14ac:dyDescent="0.25">
      <c r="A118" s="706" t="s">
        <v>184</v>
      </c>
      <c r="B118" s="655" t="s">
        <v>185</v>
      </c>
      <c r="C118" s="655"/>
      <c r="D118" s="939"/>
      <c r="E118" s="939"/>
      <c r="F118" s="948"/>
      <c r="G118" s="911"/>
    </row>
    <row r="119" spans="1:13" ht="69.75" customHeight="1" x14ac:dyDescent="0.25">
      <c r="A119" s="707" t="s">
        <v>186</v>
      </c>
      <c r="B119" s="686" t="s">
        <v>187</v>
      </c>
      <c r="C119" s="648" t="s">
        <v>345</v>
      </c>
      <c r="D119" s="1045" t="s">
        <v>779</v>
      </c>
      <c r="E119" s="1045" t="s">
        <v>779</v>
      </c>
      <c r="F119" s="943">
        <f>G119/1.1317</f>
        <v>56520.014138022445</v>
      </c>
      <c r="G119" s="911">
        <f>Workings!T204</f>
        <v>63963.7</v>
      </c>
      <c r="H119" s="85">
        <f>150/1.1317</f>
        <v>132.54396041353718</v>
      </c>
      <c r="I119" s="85">
        <f>3213.7/1.1317</f>
        <v>2839.7101705398959</v>
      </c>
      <c r="M119" s="2424" t="s">
        <v>1060</v>
      </c>
    </row>
    <row r="120" spans="1:13" ht="70.5" customHeight="1" x14ac:dyDescent="0.25">
      <c r="A120" s="672" t="s">
        <v>186</v>
      </c>
      <c r="B120" s="673" t="s">
        <v>685</v>
      </c>
      <c r="C120" s="648" t="s">
        <v>345</v>
      </c>
      <c r="D120" s="908" t="s">
        <v>875</v>
      </c>
      <c r="E120" s="908" t="s">
        <v>875</v>
      </c>
      <c r="F120" s="943">
        <f t="shared" ref="F120:F163" si="7">G120/1.1317</f>
        <v>4175.1347530264211</v>
      </c>
      <c r="G120" s="911">
        <f>Workings!T205</f>
        <v>4725</v>
      </c>
      <c r="H120" s="85">
        <f>40/1.1317</f>
        <v>35.34505611027658</v>
      </c>
      <c r="I120" s="85">
        <f>725/1.1317</f>
        <v>640.62914199876298</v>
      </c>
      <c r="M120" s="2424" t="s">
        <v>875</v>
      </c>
    </row>
    <row r="121" spans="1:13" ht="67.5" customHeight="1" x14ac:dyDescent="0.25">
      <c r="A121" s="708" t="s">
        <v>189</v>
      </c>
      <c r="B121" s="709" t="s">
        <v>190</v>
      </c>
      <c r="C121" s="648" t="s">
        <v>408</v>
      </c>
      <c r="D121" s="919" t="s">
        <v>611</v>
      </c>
      <c r="E121" s="919" t="s">
        <v>611</v>
      </c>
      <c r="F121" s="943">
        <f t="shared" si="7"/>
        <v>13614.14685870814</v>
      </c>
      <c r="G121" s="911">
        <f>Workings!T206</f>
        <v>15407.130000000001</v>
      </c>
      <c r="H121" s="85">
        <f>600/1.1317</f>
        <v>530.17584165414871</v>
      </c>
      <c r="I121" s="85">
        <f>6407.13/1.1317</f>
        <v>5661.5092338959093</v>
      </c>
      <c r="M121" s="2424" t="s">
        <v>1058</v>
      </c>
    </row>
    <row r="122" spans="1:13" ht="93.75" customHeight="1" thickBot="1" x14ac:dyDescent="0.3">
      <c r="A122" s="708" t="s">
        <v>194</v>
      </c>
      <c r="B122" s="709" t="s">
        <v>554</v>
      </c>
      <c r="C122" s="648" t="s">
        <v>409</v>
      </c>
      <c r="D122" s="907" t="s">
        <v>612</v>
      </c>
      <c r="E122" s="907" t="s">
        <v>612</v>
      </c>
      <c r="F122" s="943">
        <f t="shared" si="7"/>
        <v>12989.308120526643</v>
      </c>
      <c r="G122" s="955">
        <f>Workings!T208</f>
        <v>14700</v>
      </c>
      <c r="H122" s="85">
        <f>250/1.1317</f>
        <v>220.90660068922861</v>
      </c>
      <c r="I122" s="85">
        <f>470/1.1317</f>
        <v>415.30440929574979</v>
      </c>
      <c r="M122" s="2424" t="s">
        <v>612</v>
      </c>
    </row>
    <row r="123" spans="1:13" ht="65.25" customHeight="1" x14ac:dyDescent="0.25">
      <c r="A123" s="710" t="s">
        <v>555</v>
      </c>
      <c r="B123" s="673" t="s">
        <v>513</v>
      </c>
      <c r="C123" s="709" t="s">
        <v>410</v>
      </c>
      <c r="D123" s="906" t="s">
        <v>613</v>
      </c>
      <c r="E123" s="906" t="s">
        <v>613</v>
      </c>
      <c r="F123" s="943">
        <f t="shared" si="7"/>
        <v>1502.1648846867545</v>
      </c>
      <c r="G123" s="914">
        <f>Workings!T209</f>
        <v>1700</v>
      </c>
      <c r="H123" s="85">
        <f>8.5/1.1317</f>
        <v>7.5108244234337729</v>
      </c>
      <c r="M123" s="2424" t="s">
        <v>613</v>
      </c>
    </row>
    <row r="124" spans="1:13" ht="46.5" customHeight="1" x14ac:dyDescent="0.25">
      <c r="A124" s="674" t="s">
        <v>197</v>
      </c>
      <c r="B124" s="671" t="s">
        <v>556</v>
      </c>
      <c r="C124" s="648" t="s">
        <v>411</v>
      </c>
      <c r="D124" s="1034" t="s">
        <v>614</v>
      </c>
      <c r="E124" s="1034" t="s">
        <v>614</v>
      </c>
      <c r="F124" s="943">
        <f t="shared" si="7"/>
        <v>19728.019793231422</v>
      </c>
      <c r="G124" s="911">
        <f>Workings!T210</f>
        <v>22326.2</v>
      </c>
      <c r="H124" s="85">
        <f>858.7/1.1317</f>
        <v>758.76999204736251</v>
      </c>
      <c r="M124" s="2424" t="s">
        <v>1080</v>
      </c>
    </row>
    <row r="125" spans="1:13" ht="36" customHeight="1" x14ac:dyDescent="0.25">
      <c r="A125" s="711" t="s">
        <v>514</v>
      </c>
      <c r="B125" s="691" t="s">
        <v>557</v>
      </c>
      <c r="C125" s="648" t="s">
        <v>360</v>
      </c>
      <c r="D125" s="1034" t="s">
        <v>558</v>
      </c>
      <c r="E125" s="1034" t="s">
        <v>558</v>
      </c>
      <c r="F125" s="943">
        <f t="shared" si="7"/>
        <v>1961.6506141203499</v>
      </c>
      <c r="G125" s="911">
        <f>Workings!T211</f>
        <v>2220</v>
      </c>
      <c r="H125" s="85">
        <f>370/1.1317</f>
        <v>326.94176902005836</v>
      </c>
      <c r="M125" s="2424" t="s">
        <v>558</v>
      </c>
    </row>
    <row r="126" spans="1:13" ht="36" customHeight="1" x14ac:dyDescent="0.25">
      <c r="A126" s="711" t="s">
        <v>515</v>
      </c>
      <c r="B126" s="691" t="s">
        <v>516</v>
      </c>
      <c r="C126" s="648" t="s">
        <v>823</v>
      </c>
      <c r="D126" s="1034" t="s">
        <v>517</v>
      </c>
      <c r="E126" s="1034" t="s">
        <v>517</v>
      </c>
      <c r="F126" s="943">
        <f t="shared" si="7"/>
        <v>4506.4946540602632</v>
      </c>
      <c r="G126" s="911">
        <f>Workings!T212</f>
        <v>5100</v>
      </c>
      <c r="H126" s="85">
        <f>2550/1.1317</f>
        <v>2253.2473270301316</v>
      </c>
      <c r="M126" s="2424" t="s">
        <v>517</v>
      </c>
    </row>
    <row r="127" spans="1:13" ht="88.5" customHeight="1" x14ac:dyDescent="0.25">
      <c r="A127" s="674" t="s">
        <v>200</v>
      </c>
      <c r="B127" s="671" t="s">
        <v>201</v>
      </c>
      <c r="C127" s="648" t="s">
        <v>346</v>
      </c>
      <c r="D127" s="1034" t="s">
        <v>780</v>
      </c>
      <c r="E127" s="1034" t="s">
        <v>780</v>
      </c>
      <c r="F127" s="943">
        <f t="shared" si="7"/>
        <v>17672.528055138289</v>
      </c>
      <c r="G127" s="911">
        <f>Workings!T213</f>
        <v>20000</v>
      </c>
      <c r="H127" s="85">
        <f>250/1.1317</f>
        <v>220.90660068922861</v>
      </c>
      <c r="I127" s="85">
        <f>5000/1.1317</f>
        <v>4418.1320137845723</v>
      </c>
      <c r="M127" s="2424" t="s">
        <v>780</v>
      </c>
    </row>
    <row r="128" spans="1:13" ht="49.5" customHeight="1" x14ac:dyDescent="0.25">
      <c r="A128" s="674" t="s">
        <v>205</v>
      </c>
      <c r="B128" s="671" t="s">
        <v>686</v>
      </c>
      <c r="C128" s="648" t="s">
        <v>347</v>
      </c>
      <c r="D128" s="1034" t="s">
        <v>883</v>
      </c>
      <c r="E128" s="1034" t="s">
        <v>883</v>
      </c>
      <c r="F128" s="943">
        <f t="shared" si="7"/>
        <v>22485.11089511355</v>
      </c>
      <c r="G128" s="911">
        <f>Workings!T215</f>
        <v>25446.400000000001</v>
      </c>
      <c r="H128" s="85">
        <f>803/1.1317</f>
        <v>709.55200141380226</v>
      </c>
      <c r="I128" s="918"/>
      <c r="M128" s="2424" t="s">
        <v>883</v>
      </c>
    </row>
    <row r="129" spans="1:15" ht="49.5" customHeight="1" x14ac:dyDescent="0.25">
      <c r="A129" s="674" t="s">
        <v>518</v>
      </c>
      <c r="B129" s="671" t="s">
        <v>519</v>
      </c>
      <c r="C129" s="648" t="s">
        <v>824</v>
      </c>
      <c r="D129" s="1034" t="s">
        <v>762</v>
      </c>
      <c r="E129" s="1034" t="s">
        <v>762</v>
      </c>
      <c r="F129" s="943">
        <f t="shared" si="7"/>
        <v>3622.8682513033491</v>
      </c>
      <c r="G129" s="911">
        <f>Workings!T216</f>
        <v>4100</v>
      </c>
      <c r="H129" s="85">
        <f>4100/1.1317</f>
        <v>3622.8682513033491</v>
      </c>
      <c r="M129" s="2424" t="s">
        <v>762</v>
      </c>
    </row>
    <row r="130" spans="1:15" ht="49.5" customHeight="1" x14ac:dyDescent="0.25">
      <c r="A130" s="674" t="s">
        <v>687</v>
      </c>
      <c r="B130" s="671" t="s">
        <v>688</v>
      </c>
      <c r="C130" s="648" t="s">
        <v>825</v>
      </c>
      <c r="D130" s="1035" t="s">
        <v>689</v>
      </c>
      <c r="E130" s="1035" t="s">
        <v>689</v>
      </c>
      <c r="F130" s="943">
        <f t="shared" si="7"/>
        <v>4241.4067332331897</v>
      </c>
      <c r="G130" s="911">
        <f>Workings!T217</f>
        <v>4800</v>
      </c>
      <c r="H130" s="85">
        <f>40/1.1317</f>
        <v>35.34505611027658</v>
      </c>
      <c r="M130" s="2424" t="s">
        <v>689</v>
      </c>
    </row>
    <row r="131" spans="1:15" ht="49.5" customHeight="1" x14ac:dyDescent="0.25">
      <c r="A131" s="674" t="s">
        <v>520</v>
      </c>
      <c r="B131" s="671" t="s">
        <v>521</v>
      </c>
      <c r="C131" s="648" t="s">
        <v>826</v>
      </c>
      <c r="D131" s="1035" t="s">
        <v>522</v>
      </c>
      <c r="E131" s="1035" t="s">
        <v>522</v>
      </c>
      <c r="F131" s="943">
        <f t="shared" si="7"/>
        <v>0</v>
      </c>
      <c r="G131" s="911">
        <f>Workings!T218</f>
        <v>0</v>
      </c>
      <c r="H131" s="85">
        <f>40/1.1317</f>
        <v>35.34505611027658</v>
      </c>
    </row>
    <row r="132" spans="1:15" ht="49.5" customHeight="1" x14ac:dyDescent="0.25">
      <c r="A132" s="674" t="s">
        <v>692</v>
      </c>
      <c r="B132" s="671" t="s">
        <v>827</v>
      </c>
      <c r="C132" s="648" t="s">
        <v>828</v>
      </c>
      <c r="D132" s="1035" t="s">
        <v>691</v>
      </c>
      <c r="E132" s="1035" t="s">
        <v>691</v>
      </c>
      <c r="F132" s="943">
        <f t="shared" si="7"/>
        <v>0</v>
      </c>
      <c r="G132" s="911">
        <f>Workings!T219</f>
        <v>0</v>
      </c>
      <c r="M132" s="2424" t="s">
        <v>691</v>
      </c>
    </row>
    <row r="133" spans="1:15" ht="49.5" customHeight="1" x14ac:dyDescent="0.25">
      <c r="A133" s="674" t="s">
        <v>207</v>
      </c>
      <c r="B133" s="671" t="s">
        <v>208</v>
      </c>
      <c r="C133" s="648" t="s">
        <v>829</v>
      </c>
      <c r="D133" s="1034" t="s">
        <v>615</v>
      </c>
      <c r="E133" s="1034" t="s">
        <v>615</v>
      </c>
      <c r="F133" s="943">
        <f t="shared" si="7"/>
        <v>7069.0112220553156</v>
      </c>
      <c r="G133" s="911">
        <f>Workings!T220</f>
        <v>8000</v>
      </c>
      <c r="H133" s="85">
        <f>400/1.1317</f>
        <v>353.45056110276579</v>
      </c>
      <c r="M133" s="2424" t="s">
        <v>615</v>
      </c>
    </row>
    <row r="134" spans="1:15" ht="115.5" customHeight="1" x14ac:dyDescent="0.25">
      <c r="A134" s="672" t="s">
        <v>214</v>
      </c>
      <c r="B134" s="673" t="s">
        <v>215</v>
      </c>
      <c r="C134" s="648" t="s">
        <v>412</v>
      </c>
      <c r="D134" s="906" t="s">
        <v>884</v>
      </c>
      <c r="E134" s="906" t="s">
        <v>884</v>
      </c>
      <c r="F134" s="943">
        <f t="shared" si="7"/>
        <v>110320.75638420077</v>
      </c>
      <c r="G134" s="911">
        <f>Workings!T223</f>
        <v>124850</v>
      </c>
      <c r="H134" s="85">
        <f>195/1.1317</f>
        <v>172.30714853759832</v>
      </c>
      <c r="I134" s="85">
        <f>5000/1.1317</f>
        <v>4418.1320137845723</v>
      </c>
      <c r="J134" s="85">
        <f>8850/1.1317</f>
        <v>7820.0936643986925</v>
      </c>
      <c r="M134" s="2424" t="s">
        <v>884</v>
      </c>
    </row>
    <row r="135" spans="1:15" ht="57" customHeight="1" thickBot="1" x14ac:dyDescent="0.3">
      <c r="A135" s="956" t="s">
        <v>217</v>
      </c>
      <c r="B135" s="957" t="s">
        <v>218</v>
      </c>
      <c r="C135" s="648" t="s">
        <v>830</v>
      </c>
      <c r="D135" s="1036" t="s">
        <v>885</v>
      </c>
      <c r="E135" s="1036" t="s">
        <v>885</v>
      </c>
      <c r="F135" s="943">
        <f t="shared" si="7"/>
        <v>36935.583635239025</v>
      </c>
      <c r="G135" s="911">
        <f>Workings!T224</f>
        <v>41800</v>
      </c>
      <c r="H135" s="85">
        <f>10000/1.1317</f>
        <v>8836.2640275691447</v>
      </c>
      <c r="I135" s="85">
        <f>1800/1.1317</f>
        <v>1590.527524962446</v>
      </c>
      <c r="M135" s="2424" t="s">
        <v>885</v>
      </c>
    </row>
    <row r="136" spans="1:15" ht="71.25" customHeight="1" x14ac:dyDescent="0.25">
      <c r="A136" s="672" t="s">
        <v>523</v>
      </c>
      <c r="B136" s="673" t="s">
        <v>524</v>
      </c>
      <c r="C136" s="709" t="s">
        <v>831</v>
      </c>
      <c r="D136" s="906" t="s">
        <v>525</v>
      </c>
      <c r="E136" s="906" t="s">
        <v>525</v>
      </c>
      <c r="F136" s="943">
        <f t="shared" si="7"/>
        <v>15905.275249624459</v>
      </c>
      <c r="G136" s="911">
        <f>Workings!T225</f>
        <v>18000</v>
      </c>
      <c r="H136" s="85">
        <f>195/1.1317</f>
        <v>172.30714853759832</v>
      </c>
      <c r="I136" s="85">
        <f>2790/1.1317</f>
        <v>2465.317663691791</v>
      </c>
      <c r="M136" s="2424" t="s">
        <v>525</v>
      </c>
    </row>
    <row r="137" spans="1:15" ht="51" customHeight="1" x14ac:dyDescent="0.25">
      <c r="A137" s="672" t="s">
        <v>526</v>
      </c>
      <c r="B137" s="682" t="s">
        <v>527</v>
      </c>
      <c r="C137" s="648" t="s">
        <v>832</v>
      </c>
      <c r="D137" s="906" t="s">
        <v>528</v>
      </c>
      <c r="E137" s="906" t="s">
        <v>528</v>
      </c>
      <c r="F137" s="943">
        <f t="shared" si="7"/>
        <v>4506.4946540602632</v>
      </c>
      <c r="G137" s="911">
        <f>Workings!T226</f>
        <v>5100</v>
      </c>
      <c r="H137" s="85">
        <f>510/1.1317</f>
        <v>450.64946540602637</v>
      </c>
      <c r="M137" s="2424" t="s">
        <v>1057</v>
      </c>
    </row>
    <row r="138" spans="1:15" ht="166.5" customHeight="1" x14ac:dyDescent="0.25">
      <c r="A138" s="921" t="s">
        <v>529</v>
      </c>
      <c r="B138" s="920" t="s">
        <v>530</v>
      </c>
      <c r="C138" s="669" t="s">
        <v>833</v>
      </c>
      <c r="D138" s="1034" t="s">
        <v>876</v>
      </c>
      <c r="E138" s="1034" t="s">
        <v>876</v>
      </c>
      <c r="F138" s="943">
        <f t="shared" si="7"/>
        <v>62328.249536096147</v>
      </c>
      <c r="G138" s="911">
        <f>Workings!T227</f>
        <v>70536.88</v>
      </c>
      <c r="H138" s="85">
        <f>6136/1.1317</f>
        <v>5421.9316073164273</v>
      </c>
      <c r="I138" s="85">
        <f>6500/1.1317</f>
        <v>5743.5716179199435</v>
      </c>
      <c r="J138" s="85">
        <f>5400/1.1317</f>
        <v>4771.5825748873376</v>
      </c>
      <c r="K138" s="85">
        <f>7500/1.1317</f>
        <v>6627.1980206768585</v>
      </c>
      <c r="L138" s="85">
        <f>6000/1.1317</f>
        <v>5301.7584165414864</v>
      </c>
      <c r="M138" s="2424" t="s">
        <v>1059</v>
      </c>
      <c r="N138" s="85">
        <f>4000/1.1317</f>
        <v>3534.5056110276578</v>
      </c>
      <c r="O138" s="85">
        <f>19900/1.1317</f>
        <v>17584.165414862597</v>
      </c>
    </row>
    <row r="139" spans="1:15" ht="81.75" customHeight="1" x14ac:dyDescent="0.25">
      <c r="A139" s="685" t="s">
        <v>220</v>
      </c>
      <c r="B139" s="686" t="s">
        <v>221</v>
      </c>
      <c r="C139" s="648" t="s">
        <v>413</v>
      </c>
      <c r="D139" s="1031" t="s">
        <v>617</v>
      </c>
      <c r="E139" s="1031" t="s">
        <v>617</v>
      </c>
      <c r="F139" s="943">
        <f t="shared" si="7"/>
        <v>36140.319872757798</v>
      </c>
      <c r="G139" s="911">
        <f>Workings!T228</f>
        <v>40900</v>
      </c>
      <c r="H139" s="918">
        <f>195/1.1317</f>
        <v>172.30714853759832</v>
      </c>
      <c r="I139" s="85">
        <f>2600/1.1317</f>
        <v>2297.4286471679775</v>
      </c>
      <c r="J139" s="85">
        <f>400/1.1317</f>
        <v>353.45056110276579</v>
      </c>
      <c r="M139" s="2424" t="s">
        <v>617</v>
      </c>
    </row>
    <row r="140" spans="1:15" ht="113.25" customHeight="1" x14ac:dyDescent="0.25">
      <c r="A140" s="674" t="s">
        <v>223</v>
      </c>
      <c r="B140" s="671" t="s">
        <v>562</v>
      </c>
      <c r="C140" s="648" t="s">
        <v>414</v>
      </c>
      <c r="D140" s="1034" t="s">
        <v>618</v>
      </c>
      <c r="E140" s="1034" t="s">
        <v>618</v>
      </c>
      <c r="F140" s="943">
        <f t="shared" si="7"/>
        <v>84722.099496332958</v>
      </c>
      <c r="G140" s="911">
        <f>Workings!T229</f>
        <v>95880</v>
      </c>
      <c r="H140" s="85">
        <f>195/1.1317</f>
        <v>172.30714853759832</v>
      </c>
      <c r="I140" s="85">
        <f>420/1.1317</f>
        <v>371.12308915790408</v>
      </c>
      <c r="J140" s="85">
        <f>7290/1.1317</f>
        <v>6441.6364760979059</v>
      </c>
      <c r="M140" s="2424" t="s">
        <v>618</v>
      </c>
    </row>
    <row r="141" spans="1:15" ht="114" customHeight="1" x14ac:dyDescent="0.25">
      <c r="A141" s="674" t="s">
        <v>225</v>
      </c>
      <c r="B141" s="671" t="s">
        <v>226</v>
      </c>
      <c r="C141" s="648" t="s">
        <v>361</v>
      </c>
      <c r="D141" s="1034" t="s">
        <v>619</v>
      </c>
      <c r="E141" s="1034" t="s">
        <v>619</v>
      </c>
      <c r="F141" s="943">
        <f t="shared" si="7"/>
        <v>39321.374922682691</v>
      </c>
      <c r="G141" s="911">
        <f>Workings!T230</f>
        <v>44500</v>
      </c>
      <c r="H141" s="85">
        <f>170/1.1317</f>
        <v>150.21648846867546</v>
      </c>
      <c r="I141" s="85">
        <f>3700/1.1317</f>
        <v>3269.4176902005834</v>
      </c>
      <c r="M141" s="2424" t="s">
        <v>619</v>
      </c>
    </row>
    <row r="142" spans="1:15" ht="61.5" thickBot="1" x14ac:dyDescent="0.3">
      <c r="A142" s="687" t="s">
        <v>227</v>
      </c>
      <c r="B142" s="688" t="s">
        <v>228</v>
      </c>
      <c r="C142" s="648" t="s">
        <v>834</v>
      </c>
      <c r="D142" s="907" t="s">
        <v>620</v>
      </c>
      <c r="E142" s="907" t="s">
        <v>620</v>
      </c>
      <c r="F142" s="943">
        <f t="shared" si="7"/>
        <v>10691.879473358664</v>
      </c>
      <c r="G142" s="911">
        <f>Workings!T231</f>
        <v>12100</v>
      </c>
      <c r="H142" s="85">
        <f>400/1.1317</f>
        <v>353.45056110276579</v>
      </c>
      <c r="I142" s="85">
        <f>100/1.1317</f>
        <v>88.362640275691447</v>
      </c>
      <c r="M142" s="2424" t="s">
        <v>620</v>
      </c>
    </row>
    <row r="143" spans="1:15" ht="135" customHeight="1" x14ac:dyDescent="0.25">
      <c r="A143" s="672" t="s">
        <v>230</v>
      </c>
      <c r="B143" s="673" t="s">
        <v>231</v>
      </c>
      <c r="C143" s="648" t="s">
        <v>415</v>
      </c>
      <c r="D143" s="906" t="s">
        <v>781</v>
      </c>
      <c r="E143" s="906" t="s">
        <v>781</v>
      </c>
      <c r="F143" s="943">
        <f t="shared" si="7"/>
        <v>115224.88291950164</v>
      </c>
      <c r="G143" s="911">
        <f>Workings!T232</f>
        <v>130400</v>
      </c>
      <c r="H143" s="85">
        <f>170/1.1317</f>
        <v>150.21648846867546</v>
      </c>
      <c r="I143" s="85">
        <f>28000/1.1317</f>
        <v>24741.539277193606</v>
      </c>
      <c r="J143" s="85">
        <f>420/1.1317</f>
        <v>371.12308915790408</v>
      </c>
      <c r="K143" s="85">
        <f>15460/1.1317</f>
        <v>13660.864186621897</v>
      </c>
      <c r="M143" s="2424" t="s">
        <v>781</v>
      </c>
    </row>
    <row r="144" spans="1:15" ht="114" customHeight="1" x14ac:dyDescent="0.25">
      <c r="A144" s="674" t="s">
        <v>233</v>
      </c>
      <c r="B144" s="671" t="s">
        <v>563</v>
      </c>
      <c r="C144" s="648" t="s">
        <v>362</v>
      </c>
      <c r="D144" s="1034" t="s">
        <v>621</v>
      </c>
      <c r="E144" s="1034" t="s">
        <v>621</v>
      </c>
      <c r="F144" s="943">
        <f t="shared" si="7"/>
        <v>53105.946805690561</v>
      </c>
      <c r="G144" s="911">
        <f>Workings!T233</f>
        <v>60100</v>
      </c>
      <c r="H144" s="85">
        <f>170/1.1317</f>
        <v>150.21648846867546</v>
      </c>
      <c r="I144" s="85">
        <f>3000/1.1317</f>
        <v>2650.8792082707432</v>
      </c>
      <c r="J144" s="85">
        <f>6100/1.1317</f>
        <v>5390.1210568171782</v>
      </c>
      <c r="M144" s="2424" t="s">
        <v>621</v>
      </c>
    </row>
    <row r="145" spans="1:13" ht="45.75" customHeight="1" x14ac:dyDescent="0.25">
      <c r="A145" s="674" t="s">
        <v>531</v>
      </c>
      <c r="B145" s="673" t="s">
        <v>532</v>
      </c>
      <c r="C145" s="648" t="s">
        <v>835</v>
      </c>
      <c r="D145" s="908" t="s">
        <v>691</v>
      </c>
      <c r="E145" s="908" t="s">
        <v>691</v>
      </c>
      <c r="F145" s="943">
        <f t="shared" si="7"/>
        <v>0</v>
      </c>
      <c r="G145" s="911">
        <f>Workings!T234</f>
        <v>0</v>
      </c>
      <c r="M145" s="2424" t="s">
        <v>691</v>
      </c>
    </row>
    <row r="146" spans="1:13" ht="69" customHeight="1" x14ac:dyDescent="0.25">
      <c r="A146" s="672" t="s">
        <v>694</v>
      </c>
      <c r="B146" s="673" t="s">
        <v>693</v>
      </c>
      <c r="C146" s="648" t="s">
        <v>836</v>
      </c>
      <c r="D146" s="908" t="s">
        <v>782</v>
      </c>
      <c r="E146" s="908" t="s">
        <v>782</v>
      </c>
      <c r="F146" s="943">
        <f t="shared" si="7"/>
        <v>15286.73676769462</v>
      </c>
      <c r="G146" s="911">
        <f>Workings!T235</f>
        <v>17300</v>
      </c>
      <c r="H146" s="85">
        <f>170/1.1317</f>
        <v>150.21648846867546</v>
      </c>
      <c r="M146" s="2424" t="s">
        <v>782</v>
      </c>
    </row>
    <row r="147" spans="1:13" ht="57" customHeight="1" x14ac:dyDescent="0.25">
      <c r="A147" s="672" t="s">
        <v>696</v>
      </c>
      <c r="B147" s="673" t="s">
        <v>695</v>
      </c>
      <c r="C147" s="648" t="s">
        <v>837</v>
      </c>
      <c r="D147" s="1035" t="s">
        <v>691</v>
      </c>
      <c r="E147" s="1035" t="s">
        <v>691</v>
      </c>
      <c r="F147" s="943">
        <f t="shared" si="7"/>
        <v>0</v>
      </c>
      <c r="G147" s="911">
        <f>Workings!T236</f>
        <v>0</v>
      </c>
      <c r="M147" s="2424" t="s">
        <v>691</v>
      </c>
    </row>
    <row r="148" spans="1:13" ht="66" customHeight="1" x14ac:dyDescent="0.25">
      <c r="A148" s="672" t="s">
        <v>235</v>
      </c>
      <c r="B148" s="673" t="s">
        <v>236</v>
      </c>
      <c r="C148" s="648" t="s">
        <v>348</v>
      </c>
      <c r="D148" s="906" t="s">
        <v>622</v>
      </c>
      <c r="E148" s="906" t="s">
        <v>622</v>
      </c>
      <c r="F148" s="943">
        <f t="shared" si="7"/>
        <v>30308.385614562165</v>
      </c>
      <c r="G148" s="911">
        <f>Workings!T237</f>
        <v>34300</v>
      </c>
      <c r="H148" s="85">
        <f>195/1.1317</f>
        <v>172.30714853759832</v>
      </c>
      <c r="I148" s="85">
        <f>400/1.1317</f>
        <v>353.45056110276579</v>
      </c>
      <c r="J148" s="85">
        <f>5575/1.1317</f>
        <v>4926.217195369798</v>
      </c>
      <c r="M148" s="2424" t="s">
        <v>622</v>
      </c>
    </row>
    <row r="149" spans="1:13" ht="80.25" customHeight="1" x14ac:dyDescent="0.25">
      <c r="A149" s="674" t="s">
        <v>238</v>
      </c>
      <c r="B149" s="712" t="s">
        <v>239</v>
      </c>
      <c r="C149" s="648" t="s">
        <v>349</v>
      </c>
      <c r="D149" s="1034" t="s">
        <v>623</v>
      </c>
      <c r="E149" s="1034" t="s">
        <v>623</v>
      </c>
      <c r="F149" s="943">
        <f t="shared" si="7"/>
        <v>25536.803039674825</v>
      </c>
      <c r="G149" s="911">
        <f>Workings!T238</f>
        <v>28900</v>
      </c>
      <c r="H149" s="85">
        <f>14000/1.1317</f>
        <v>12370.769638596803</v>
      </c>
      <c r="I149" s="85">
        <f>450/1.1317</f>
        <v>397.63188124061151</v>
      </c>
      <c r="M149" s="2424" t="s">
        <v>623</v>
      </c>
    </row>
    <row r="150" spans="1:13" ht="67.5" customHeight="1" x14ac:dyDescent="0.25">
      <c r="A150" s="672" t="s">
        <v>243</v>
      </c>
      <c r="B150" s="713" t="s">
        <v>565</v>
      </c>
      <c r="C150" s="648" t="s">
        <v>416</v>
      </c>
      <c r="D150" s="922" t="s">
        <v>783</v>
      </c>
      <c r="E150" s="922" t="s">
        <v>783</v>
      </c>
      <c r="F150" s="943">
        <f t="shared" si="7"/>
        <v>3887.9561721304235</v>
      </c>
      <c r="G150" s="911">
        <f>Workings!T240</f>
        <v>4400</v>
      </c>
      <c r="H150" s="85">
        <f>250/1.1317</f>
        <v>220.90660068922861</v>
      </c>
      <c r="I150" s="85">
        <f>250/1.1317</f>
        <v>220.90660068922861</v>
      </c>
      <c r="J150" s="85">
        <f>400/1.1317</f>
        <v>353.45056110276579</v>
      </c>
      <c r="M150" s="2425" t="s">
        <v>783</v>
      </c>
    </row>
    <row r="151" spans="1:13" ht="67.5" customHeight="1" x14ac:dyDescent="0.25">
      <c r="A151" s="674" t="s">
        <v>247</v>
      </c>
      <c r="B151" s="712" t="s">
        <v>248</v>
      </c>
      <c r="C151" s="648" t="s">
        <v>350</v>
      </c>
      <c r="D151" s="1046" t="s">
        <v>624</v>
      </c>
      <c r="E151" s="1046" t="s">
        <v>624</v>
      </c>
      <c r="F151" s="943">
        <f t="shared" si="7"/>
        <v>1370.5045506759743</v>
      </c>
      <c r="G151" s="911">
        <f>Workings!T242</f>
        <v>1551</v>
      </c>
      <c r="H151" s="85">
        <f>155/1.1317</f>
        <v>136.96209242732175</v>
      </c>
      <c r="M151" s="2425" t="s">
        <v>624</v>
      </c>
    </row>
    <row r="152" spans="1:13" ht="62.25" customHeight="1" x14ac:dyDescent="0.25">
      <c r="A152" s="672" t="s">
        <v>250</v>
      </c>
      <c r="B152" s="713" t="s">
        <v>567</v>
      </c>
      <c r="C152" s="648" t="s">
        <v>417</v>
      </c>
      <c r="D152" s="922" t="s">
        <v>625</v>
      </c>
      <c r="E152" s="922" t="s">
        <v>625</v>
      </c>
      <c r="F152" s="943">
        <f t="shared" si="7"/>
        <v>724.57365026066987</v>
      </c>
      <c r="G152" s="911">
        <f>Workings!T243</f>
        <v>820</v>
      </c>
      <c r="H152" s="85">
        <f>10.94/1.1317</f>
        <v>9.6668728461606435</v>
      </c>
      <c r="M152" s="2425" t="s">
        <v>625</v>
      </c>
    </row>
    <row r="153" spans="1:13" ht="55.5" customHeight="1" x14ac:dyDescent="0.25">
      <c r="A153" s="674" t="s">
        <v>252</v>
      </c>
      <c r="B153" s="712" t="s">
        <v>626</v>
      </c>
      <c r="C153" s="648" t="s">
        <v>351</v>
      </c>
      <c r="D153" s="1046" t="s">
        <v>627</v>
      </c>
      <c r="E153" s="1046" t="s">
        <v>627</v>
      </c>
      <c r="F153" s="943">
        <f t="shared" si="7"/>
        <v>6450.472740125475</v>
      </c>
      <c r="G153" s="911">
        <f>Workings!T244</f>
        <v>7300</v>
      </c>
      <c r="H153" s="85">
        <f>3450/1.1317</f>
        <v>3048.5110895113548</v>
      </c>
      <c r="M153" s="2425" t="s">
        <v>627</v>
      </c>
    </row>
    <row r="154" spans="1:13" ht="88.5" customHeight="1" x14ac:dyDescent="0.25">
      <c r="A154" s="714" t="s">
        <v>700</v>
      </c>
      <c r="B154" s="686" t="s">
        <v>697</v>
      </c>
      <c r="C154" s="648" t="s">
        <v>838</v>
      </c>
      <c r="D154" s="1035" t="s">
        <v>698</v>
      </c>
      <c r="E154" s="1035" t="s">
        <v>698</v>
      </c>
      <c r="F154" s="943">
        <f t="shared" si="7"/>
        <v>5301.7584165414864</v>
      </c>
      <c r="G154" s="911">
        <f>Workings!T245</f>
        <v>6000</v>
      </c>
      <c r="H154" s="85">
        <f>3000/1.1317</f>
        <v>2650.8792082707432</v>
      </c>
      <c r="M154" s="2424" t="s">
        <v>698</v>
      </c>
    </row>
    <row r="155" spans="1:13" ht="66.75" customHeight="1" x14ac:dyDescent="0.25">
      <c r="A155" s="677" t="s">
        <v>254</v>
      </c>
      <c r="B155" s="715" t="s">
        <v>255</v>
      </c>
      <c r="C155" s="648" t="s">
        <v>352</v>
      </c>
      <c r="D155" s="1047" t="s">
        <v>628</v>
      </c>
      <c r="E155" s="1047" t="s">
        <v>628</v>
      </c>
      <c r="F155" s="943">
        <f t="shared" si="7"/>
        <v>-101.88212423787223</v>
      </c>
      <c r="G155" s="911">
        <f>Workings!T246</f>
        <v>-115.3</v>
      </c>
      <c r="H155" s="85">
        <f>G155/1.1317</f>
        <v>-101.88212423787223</v>
      </c>
      <c r="M155" s="2425" t="s">
        <v>628</v>
      </c>
    </row>
    <row r="156" spans="1:13" ht="92.25" customHeight="1" x14ac:dyDescent="0.25">
      <c r="A156" s="716" t="s">
        <v>257</v>
      </c>
      <c r="B156" s="682" t="s">
        <v>629</v>
      </c>
      <c r="C156" s="648" t="s">
        <v>363</v>
      </c>
      <c r="D156" s="1026" t="s">
        <v>630</v>
      </c>
      <c r="E156" s="1026" t="s">
        <v>630</v>
      </c>
      <c r="F156" s="943">
        <f t="shared" si="7"/>
        <v>151807.01599363791</v>
      </c>
      <c r="G156" s="911">
        <f>Workings!T247</f>
        <v>171800</v>
      </c>
      <c r="H156" s="85">
        <f>185/1.1317</f>
        <v>163.47088451002918</v>
      </c>
      <c r="I156" s="85">
        <f>7500/1.1317</f>
        <v>6627.1980206768585</v>
      </c>
      <c r="J156" s="85">
        <f>20000/1.1317</f>
        <v>17672.528055138289</v>
      </c>
      <c r="M156" s="2425" t="s">
        <v>1056</v>
      </c>
    </row>
    <row r="157" spans="1:13" ht="57.75" customHeight="1" x14ac:dyDescent="0.25">
      <c r="A157" s="717" t="s">
        <v>533</v>
      </c>
      <c r="B157" s="671" t="s">
        <v>534</v>
      </c>
      <c r="C157" s="648" t="s">
        <v>839</v>
      </c>
      <c r="D157" s="1034" t="s">
        <v>535</v>
      </c>
      <c r="E157" s="1034" t="s">
        <v>535</v>
      </c>
      <c r="F157" s="943">
        <f t="shared" si="7"/>
        <v>0</v>
      </c>
      <c r="G157" s="911">
        <f>Workings!T248</f>
        <v>0</v>
      </c>
      <c r="H157" s="85">
        <f>35/1.1317</f>
        <v>30.926924096492005</v>
      </c>
      <c r="M157" s="2424"/>
    </row>
    <row r="158" spans="1:13" ht="63.75" customHeight="1" x14ac:dyDescent="0.25">
      <c r="A158" s="690" t="s">
        <v>258</v>
      </c>
      <c r="B158" s="671" t="s">
        <v>259</v>
      </c>
      <c r="C158" s="648" t="s">
        <v>353</v>
      </c>
      <c r="D158" s="1048" t="s">
        <v>906</v>
      </c>
      <c r="E158" s="1048" t="s">
        <v>906</v>
      </c>
      <c r="F158" s="943">
        <f t="shared" si="7"/>
        <v>7245.7365026066982</v>
      </c>
      <c r="G158" s="911">
        <f>Workings!T249</f>
        <v>8200</v>
      </c>
      <c r="H158" s="85">
        <f>65/1.1317</f>
        <v>57.435716179199439</v>
      </c>
      <c r="I158" s="85">
        <f>400/1.1317</f>
        <v>353.45056110276579</v>
      </c>
      <c r="M158" s="2426" t="s">
        <v>906</v>
      </c>
    </row>
    <row r="159" spans="1:13" ht="82.5" customHeight="1" x14ac:dyDescent="0.25">
      <c r="A159" s="672" t="s">
        <v>261</v>
      </c>
      <c r="B159" s="673" t="s">
        <v>354</v>
      </c>
      <c r="C159" s="648" t="s">
        <v>356</v>
      </c>
      <c r="D159" s="906" t="s">
        <v>631</v>
      </c>
      <c r="E159" s="906" t="s">
        <v>631</v>
      </c>
      <c r="F159" s="943">
        <f t="shared" si="7"/>
        <v>1192.8956437218344</v>
      </c>
      <c r="G159" s="911">
        <f>Workings!T250</f>
        <v>1350</v>
      </c>
      <c r="H159" s="85">
        <f>56.25/1.1317</f>
        <v>49.703985155076438</v>
      </c>
      <c r="M159" s="2424" t="s">
        <v>631</v>
      </c>
    </row>
    <row r="160" spans="1:13" ht="86.25" customHeight="1" x14ac:dyDescent="0.25">
      <c r="A160" s="674" t="s">
        <v>264</v>
      </c>
      <c r="B160" s="671" t="s">
        <v>265</v>
      </c>
      <c r="C160" s="648" t="s">
        <v>355</v>
      </c>
      <c r="D160" s="1034" t="s">
        <v>632</v>
      </c>
      <c r="E160" s="1034" t="s">
        <v>632</v>
      </c>
      <c r="F160" s="943">
        <f t="shared" si="7"/>
        <v>7245.7365026066982</v>
      </c>
      <c r="G160" s="911">
        <f>Workings!T251</f>
        <v>8200</v>
      </c>
      <c r="H160" s="85">
        <f>160/1.1317</f>
        <v>141.38022444110632</v>
      </c>
      <c r="I160" s="85">
        <f>1000/1.1317</f>
        <v>883.62640275691444</v>
      </c>
      <c r="M160" s="2424" t="s">
        <v>632</v>
      </c>
    </row>
    <row r="161" spans="1:13" ht="66" customHeight="1" x14ac:dyDescent="0.25">
      <c r="A161" s="711" t="s">
        <v>267</v>
      </c>
      <c r="B161" s="691" t="s">
        <v>568</v>
      </c>
      <c r="C161" s="648" t="s">
        <v>357</v>
      </c>
      <c r="D161" s="1049" t="s">
        <v>633</v>
      </c>
      <c r="E161" s="1049" t="s">
        <v>633</v>
      </c>
      <c r="F161" s="943">
        <f t="shared" si="7"/>
        <v>70778.47486082885</v>
      </c>
      <c r="G161" s="911">
        <f>Workings!T252</f>
        <v>80100</v>
      </c>
      <c r="H161" s="85">
        <f>195/1.1317</f>
        <v>172.30714853759832</v>
      </c>
      <c r="I161" s="85">
        <f>2900/1.1317</f>
        <v>2562.5165679950519</v>
      </c>
      <c r="J161" s="85">
        <f>3500/1.1317</f>
        <v>3092.6924096492007</v>
      </c>
      <c r="M161" s="2424" t="s">
        <v>633</v>
      </c>
    </row>
    <row r="162" spans="1:13" ht="77.25" customHeight="1" x14ac:dyDescent="0.25">
      <c r="A162" s="674" t="s">
        <v>701</v>
      </c>
      <c r="B162" s="671" t="s">
        <v>702</v>
      </c>
      <c r="C162" s="648" t="s">
        <v>840</v>
      </c>
      <c r="D162" s="1035" t="s">
        <v>726</v>
      </c>
      <c r="E162" s="1035" t="s">
        <v>726</v>
      </c>
      <c r="F162" s="943">
        <f t="shared" si="7"/>
        <v>3711.2308915790404</v>
      </c>
      <c r="G162" s="911">
        <f>Workings!T253</f>
        <v>4200</v>
      </c>
      <c r="H162" s="85">
        <f>30/1.1317</f>
        <v>26.508792082707433</v>
      </c>
      <c r="M162" s="2424" t="s">
        <v>726</v>
      </c>
    </row>
    <row r="163" spans="1:13" ht="41.25" customHeight="1" thickBot="1" x14ac:dyDescent="0.3">
      <c r="A163" s="711" t="s">
        <v>536</v>
      </c>
      <c r="B163" s="920" t="s">
        <v>537</v>
      </c>
      <c r="C163" s="669" t="s">
        <v>841</v>
      </c>
      <c r="D163" s="1050" t="s">
        <v>538</v>
      </c>
      <c r="E163" s="1050" t="s">
        <v>538</v>
      </c>
      <c r="F163" s="943">
        <f t="shared" si="7"/>
        <v>839.44508261906867</v>
      </c>
      <c r="G163" s="911">
        <f>Workings!T254</f>
        <v>950</v>
      </c>
      <c r="H163" s="85">
        <f>475/1.1317</f>
        <v>419.72254130953434</v>
      </c>
    </row>
    <row r="164" spans="1:13" ht="36.75" customHeight="1" thickBot="1" x14ac:dyDescent="0.3">
      <c r="A164" s="696"/>
      <c r="B164" s="810" t="s">
        <v>341</v>
      </c>
      <c r="C164" s="810"/>
      <c r="D164" s="1016"/>
      <c r="E164" s="1016"/>
      <c r="F164" s="915">
        <f>SUM(F119:F163)</f>
        <v>1070876.5662277988</v>
      </c>
      <c r="G164" s="915">
        <f>SUM(G119:G163)</f>
        <v>1211911.01</v>
      </c>
    </row>
    <row r="165" spans="1:13" ht="27" customHeight="1" x14ac:dyDescent="0.25">
      <c r="A165" s="696"/>
      <c r="B165" s="951"/>
      <c r="C165" s="951"/>
      <c r="D165" s="1018"/>
      <c r="E165" s="1083"/>
      <c r="F165" s="699"/>
      <c r="G165" s="914"/>
    </row>
    <row r="166" spans="1:13" ht="29.25" customHeight="1" x14ac:dyDescent="0.25">
      <c r="A166" s="684">
        <v>5.0999999999999996</v>
      </c>
      <c r="B166" s="2760" t="s">
        <v>269</v>
      </c>
      <c r="C166" s="2761"/>
      <c r="D166" s="1021"/>
      <c r="E166" s="1084"/>
      <c r="F166" s="941"/>
      <c r="G166" s="914"/>
    </row>
    <row r="167" spans="1:13" ht="18" x14ac:dyDescent="0.25">
      <c r="A167" s="651"/>
      <c r="B167" s="655"/>
      <c r="C167" s="655"/>
      <c r="D167" s="939"/>
      <c r="E167" s="939"/>
      <c r="F167" s="948"/>
      <c r="G167" s="911"/>
    </row>
    <row r="168" spans="1:13" ht="63" x14ac:dyDescent="0.25">
      <c r="A168" s="684">
        <v>5.0999999999999996</v>
      </c>
      <c r="B168" s="655" t="s">
        <v>270</v>
      </c>
      <c r="C168" s="655"/>
      <c r="D168" s="939"/>
      <c r="E168" s="939"/>
      <c r="F168" s="948"/>
      <c r="G168" s="911"/>
    </row>
    <row r="169" spans="1:13" ht="85.5" customHeight="1" x14ac:dyDescent="0.25">
      <c r="A169" s="672" t="s">
        <v>271</v>
      </c>
      <c r="B169" s="718" t="s">
        <v>634</v>
      </c>
      <c r="C169" s="648" t="s">
        <v>418</v>
      </c>
      <c r="D169" s="906" t="s">
        <v>635</v>
      </c>
      <c r="E169" s="906" t="s">
        <v>635</v>
      </c>
      <c r="F169" s="943">
        <f>G169/1.1317</f>
        <v>16523.813731554299</v>
      </c>
      <c r="G169" s="911">
        <f>Workings!T262</f>
        <v>18700</v>
      </c>
      <c r="H169" s="85">
        <f>170/1.1317</f>
        <v>150.21648846867546</v>
      </c>
      <c r="I169" s="85">
        <f>2000/1.1317</f>
        <v>1767.2528055138289</v>
      </c>
      <c r="J169" s="85">
        <f>1400/1.1317</f>
        <v>1237.0769638596803</v>
      </c>
      <c r="M169" s="2424" t="s">
        <v>635</v>
      </c>
    </row>
    <row r="170" spans="1:13" ht="111" customHeight="1" x14ac:dyDescent="0.25">
      <c r="A170" s="672" t="s">
        <v>273</v>
      </c>
      <c r="B170" s="718" t="s">
        <v>274</v>
      </c>
      <c r="C170" s="648" t="s">
        <v>419</v>
      </c>
      <c r="D170" s="906" t="s">
        <v>636</v>
      </c>
      <c r="E170" s="906" t="s">
        <v>636</v>
      </c>
      <c r="F170" s="943">
        <f t="shared" ref="F170:F174" si="8">G170/1.1317</f>
        <v>25625.165679950518</v>
      </c>
      <c r="G170" s="911">
        <f>Workings!T263</f>
        <v>29000</v>
      </c>
      <c r="H170" s="85">
        <f>195/1.1317</f>
        <v>172.30714853759832</v>
      </c>
      <c r="I170" s="85">
        <f>8850/1.1317</f>
        <v>7820.0936643986925</v>
      </c>
      <c r="J170" s="85">
        <f>3500/1.1317</f>
        <v>3092.6924096492007</v>
      </c>
      <c r="M170" s="2424" t="s">
        <v>636</v>
      </c>
    </row>
    <row r="171" spans="1:13" ht="66.75" customHeight="1" x14ac:dyDescent="0.25">
      <c r="A171" s="719" t="s">
        <v>275</v>
      </c>
      <c r="B171" s="720" t="s">
        <v>719</v>
      </c>
      <c r="C171" s="648" t="s">
        <v>420</v>
      </c>
      <c r="D171" s="1051" t="s">
        <v>784</v>
      </c>
      <c r="E171" s="1051" t="s">
        <v>784</v>
      </c>
      <c r="F171" s="943">
        <f t="shared" si="8"/>
        <v>8482.8134664663794</v>
      </c>
      <c r="G171" s="911">
        <f>Workings!T264</f>
        <v>9600</v>
      </c>
      <c r="H171" s="85">
        <f>6/1.1317</f>
        <v>5.3017584165414862</v>
      </c>
      <c r="I171" s="85">
        <f>2400/1.1317</f>
        <v>2120.7033666165948</v>
      </c>
      <c r="M171" s="2424" t="s">
        <v>784</v>
      </c>
    </row>
    <row r="172" spans="1:13" ht="57" customHeight="1" x14ac:dyDescent="0.25">
      <c r="A172" s="711" t="s">
        <v>703</v>
      </c>
      <c r="B172" s="721" t="s">
        <v>720</v>
      </c>
      <c r="C172" s="648" t="s">
        <v>842</v>
      </c>
      <c r="D172" s="1035" t="s">
        <v>725</v>
      </c>
      <c r="E172" s="1035" t="s">
        <v>725</v>
      </c>
      <c r="F172" s="943">
        <f t="shared" si="8"/>
        <v>5301.7584165414864</v>
      </c>
      <c r="G172" s="911">
        <f>Workings!T265</f>
        <v>6000</v>
      </c>
      <c r="H172" s="85">
        <f>30/1.1317</f>
        <v>26.508792082707433</v>
      </c>
      <c r="M172" s="2424" t="s">
        <v>725</v>
      </c>
    </row>
    <row r="173" spans="1:13" ht="84.75" customHeight="1" x14ac:dyDescent="0.25">
      <c r="A173" s="711" t="s">
        <v>704</v>
      </c>
      <c r="B173" s="721" t="s">
        <v>705</v>
      </c>
      <c r="C173" s="648" t="s">
        <v>843</v>
      </c>
      <c r="D173" s="1035" t="s">
        <v>877</v>
      </c>
      <c r="E173" s="1035" t="s">
        <v>921</v>
      </c>
      <c r="F173" s="943">
        <f t="shared" si="8"/>
        <v>12370.769638596803</v>
      </c>
      <c r="G173" s="911">
        <f>Workings!T266</f>
        <v>14000</v>
      </c>
      <c r="H173" s="85">
        <f>30/1.1317</f>
        <v>26.508792082707433</v>
      </c>
      <c r="I173" s="85">
        <f>4000/1.1317</f>
        <v>3534.5056110276578</v>
      </c>
      <c r="J173" s="85">
        <f>400/1.1317</f>
        <v>353.45056110276579</v>
      </c>
      <c r="M173" s="2424" t="s">
        <v>877</v>
      </c>
    </row>
    <row r="174" spans="1:13" ht="98.25" customHeight="1" thickBot="1" x14ac:dyDescent="0.3">
      <c r="A174" s="719" t="s">
        <v>569</v>
      </c>
      <c r="B174" s="965" t="s">
        <v>909</v>
      </c>
      <c r="C174" s="669" t="s">
        <v>844</v>
      </c>
      <c r="D174" s="906" t="s">
        <v>637</v>
      </c>
      <c r="E174" s="906" t="s">
        <v>637</v>
      </c>
      <c r="F174" s="943">
        <f t="shared" si="8"/>
        <v>18997.967659273661</v>
      </c>
      <c r="G174" s="911">
        <f>Workings!T267</f>
        <v>21500</v>
      </c>
      <c r="H174" s="85">
        <f>195/1.1317</f>
        <v>172.30714853759832</v>
      </c>
      <c r="I174" s="85">
        <f>2000/1.1317</f>
        <v>1767.2528055138289</v>
      </c>
      <c r="M174" s="2424" t="s">
        <v>637</v>
      </c>
    </row>
    <row r="175" spans="1:13" ht="32.25" customHeight="1" thickBot="1" x14ac:dyDescent="0.3">
      <c r="A175" s="651"/>
      <c r="B175" s="968" t="s">
        <v>341</v>
      </c>
      <c r="C175" s="968"/>
      <c r="D175" s="1022"/>
      <c r="E175" s="1022"/>
      <c r="F175" s="915">
        <f>SUM(F169:F174)</f>
        <v>87302.288592383149</v>
      </c>
      <c r="G175" s="915">
        <f>SUM(G169:G174)</f>
        <v>98800</v>
      </c>
      <c r="M175" s="1048" t="s">
        <v>906</v>
      </c>
    </row>
    <row r="176" spans="1:13" ht="24.75" customHeight="1" x14ac:dyDescent="0.25">
      <c r="A176" s="651"/>
      <c r="B176" s="966"/>
      <c r="C176" s="966"/>
      <c r="D176" s="1023"/>
      <c r="E176" s="1085"/>
      <c r="F176" s="967"/>
      <c r="G176" s="914"/>
      <c r="M176" s="906" t="s">
        <v>631</v>
      </c>
    </row>
    <row r="177" spans="1:13" ht="41.25" customHeight="1" x14ac:dyDescent="0.25">
      <c r="A177" s="684">
        <v>5.2</v>
      </c>
      <c r="B177" s="2757" t="s">
        <v>277</v>
      </c>
      <c r="C177" s="2758"/>
      <c r="D177" s="2759"/>
      <c r="E177" s="2759"/>
      <c r="F177" s="948"/>
      <c r="G177" s="911"/>
      <c r="M177" s="1034" t="s">
        <v>632</v>
      </c>
    </row>
    <row r="178" spans="1:13" ht="81" customHeight="1" x14ac:dyDescent="0.25">
      <c r="A178" s="685" t="s">
        <v>278</v>
      </c>
      <c r="B178" s="722" t="s">
        <v>279</v>
      </c>
      <c r="C178" s="1087" t="s">
        <v>923</v>
      </c>
      <c r="D178" s="1031" t="s">
        <v>638</v>
      </c>
      <c r="E178" s="1031" t="s">
        <v>638</v>
      </c>
      <c r="F178" s="943">
        <f t="shared" ref="F178:F186" si="9">G178/1.1317</f>
        <v>17407.440134311215</v>
      </c>
      <c r="G178" s="911">
        <f>Workings!T272</f>
        <v>19700</v>
      </c>
      <c r="H178" s="85">
        <f>195/1.1317</f>
        <v>172.30714853759832</v>
      </c>
      <c r="I178" s="85">
        <f>2150/1.1317</f>
        <v>1899.7967659273661</v>
      </c>
      <c r="M178" s="2424" t="s">
        <v>638</v>
      </c>
    </row>
    <row r="179" spans="1:13" ht="49.5" customHeight="1" x14ac:dyDescent="0.25">
      <c r="A179" s="685" t="s">
        <v>539</v>
      </c>
      <c r="B179" s="718" t="s">
        <v>540</v>
      </c>
      <c r="C179" s="1087" t="s">
        <v>924</v>
      </c>
      <c r="D179" s="1034" t="s">
        <v>541</v>
      </c>
      <c r="E179" s="1034" t="s">
        <v>541</v>
      </c>
      <c r="F179" s="943">
        <f t="shared" si="9"/>
        <v>2120.7033666165948</v>
      </c>
      <c r="G179" s="911">
        <f>Workings!T273</f>
        <v>2400</v>
      </c>
      <c r="H179" s="85">
        <f>8/1.1317</f>
        <v>7.0690112220553152</v>
      </c>
      <c r="M179" s="2424" t="s">
        <v>541</v>
      </c>
    </row>
    <row r="180" spans="1:13" ht="84.75" customHeight="1" x14ac:dyDescent="0.25">
      <c r="A180" s="685" t="s">
        <v>281</v>
      </c>
      <c r="B180" s="718" t="s">
        <v>639</v>
      </c>
      <c r="C180" s="1087" t="s">
        <v>925</v>
      </c>
      <c r="D180" s="906" t="s">
        <v>640</v>
      </c>
      <c r="E180" s="906" t="s">
        <v>640</v>
      </c>
      <c r="F180" s="943">
        <f t="shared" si="9"/>
        <v>58230.979941680664</v>
      </c>
      <c r="G180" s="911">
        <f>Workings!T274</f>
        <v>65900</v>
      </c>
      <c r="H180" s="85">
        <f>337/1.1317</f>
        <v>297.78209772908019</v>
      </c>
      <c r="I180" s="85">
        <f>2000/1.1317</f>
        <v>1767.2528055138289</v>
      </c>
      <c r="M180" s="2424" t="s">
        <v>640</v>
      </c>
    </row>
    <row r="181" spans="1:13" ht="117.75" customHeight="1" x14ac:dyDescent="0.25">
      <c r="A181" s="685" t="s">
        <v>282</v>
      </c>
      <c r="B181" s="718" t="s">
        <v>283</v>
      </c>
      <c r="C181" s="1087" t="s">
        <v>926</v>
      </c>
      <c r="D181" s="1052" t="s">
        <v>785</v>
      </c>
      <c r="E181" s="1052" t="s">
        <v>785</v>
      </c>
      <c r="F181" s="943">
        <f t="shared" si="9"/>
        <v>33754.528585314132</v>
      </c>
      <c r="G181" s="911">
        <f>Workings!T275</f>
        <v>38200</v>
      </c>
      <c r="H181" s="85">
        <f>250/1.1317</f>
        <v>220.90660068922861</v>
      </c>
      <c r="I181" s="85">
        <f>660/1.1317</f>
        <v>583.19342581956357</v>
      </c>
      <c r="M181" s="2424" t="s">
        <v>785</v>
      </c>
    </row>
    <row r="182" spans="1:13" ht="94.5" customHeight="1" x14ac:dyDescent="0.25">
      <c r="A182" s="685" t="s">
        <v>284</v>
      </c>
      <c r="B182" s="718" t="s">
        <v>641</v>
      </c>
      <c r="C182" s="1087" t="s">
        <v>927</v>
      </c>
      <c r="D182" s="1053" t="s">
        <v>786</v>
      </c>
      <c r="E182" s="1053" t="s">
        <v>786</v>
      </c>
      <c r="F182" s="943">
        <f t="shared" si="9"/>
        <v>62737.474595740925</v>
      </c>
      <c r="G182" s="911">
        <f>Workings!T276</f>
        <v>71000</v>
      </c>
      <c r="H182" s="85">
        <f>195/1.1317</f>
        <v>172.30714853759832</v>
      </c>
      <c r="I182" s="85">
        <f>400/1.1317</f>
        <v>353.45056110276579</v>
      </c>
      <c r="J182" s="85">
        <f>3050/1.1317</f>
        <v>2695.0605284085891</v>
      </c>
      <c r="M182" s="2424" t="s">
        <v>786</v>
      </c>
    </row>
    <row r="183" spans="1:13" ht="49.5" customHeight="1" x14ac:dyDescent="0.25">
      <c r="A183" s="716" t="s">
        <v>707</v>
      </c>
      <c r="B183" s="723" t="s">
        <v>706</v>
      </c>
      <c r="C183" s="1087" t="s">
        <v>928</v>
      </c>
      <c r="D183" s="923" t="s">
        <v>724</v>
      </c>
      <c r="E183" s="923" t="s">
        <v>724</v>
      </c>
      <c r="F183" s="943">
        <f t="shared" si="9"/>
        <v>8482.8134664663794</v>
      </c>
      <c r="G183" s="911">
        <f>Workings!T277</f>
        <v>9600</v>
      </c>
      <c r="H183" s="85">
        <f>30/1.1317</f>
        <v>26.508792082707433</v>
      </c>
      <c r="M183" s="2424" t="s">
        <v>724</v>
      </c>
    </row>
    <row r="184" spans="1:13" ht="48.75" customHeight="1" x14ac:dyDescent="0.25">
      <c r="A184" s="685" t="s">
        <v>286</v>
      </c>
      <c r="B184" s="718" t="s">
        <v>287</v>
      </c>
      <c r="C184" s="1087" t="s">
        <v>929</v>
      </c>
      <c r="D184" s="1034" t="s">
        <v>642</v>
      </c>
      <c r="E184" s="1034" t="s">
        <v>642</v>
      </c>
      <c r="F184" s="943">
        <f t="shared" si="9"/>
        <v>6273.7474595740923</v>
      </c>
      <c r="G184" s="911">
        <f>Workings!T278</f>
        <v>7100</v>
      </c>
      <c r="H184" s="85">
        <f>70/1.1317</f>
        <v>61.85384819298401</v>
      </c>
      <c r="M184" s="2424" t="s">
        <v>642</v>
      </c>
    </row>
    <row r="185" spans="1:13" ht="115.5" customHeight="1" x14ac:dyDescent="0.25">
      <c r="A185" s="685" t="s">
        <v>289</v>
      </c>
      <c r="B185" s="718" t="s">
        <v>290</v>
      </c>
      <c r="C185" s="1087" t="s">
        <v>930</v>
      </c>
      <c r="D185" s="1034" t="s">
        <v>643</v>
      </c>
      <c r="E185" s="1034" t="s">
        <v>643</v>
      </c>
      <c r="F185" s="943">
        <f t="shared" si="9"/>
        <v>37907.57267827163</v>
      </c>
      <c r="G185" s="911">
        <f>Workings!T279</f>
        <v>42900</v>
      </c>
      <c r="H185" s="85">
        <f>195/1.1317</f>
        <v>172.30714853759832</v>
      </c>
      <c r="I185" s="85">
        <f>400/1.1317</f>
        <v>353.45056110276579</v>
      </c>
      <c r="J185" s="85">
        <f>3000/1.1317</f>
        <v>2650.8792082707432</v>
      </c>
      <c r="M185" s="2424" t="s">
        <v>643</v>
      </c>
    </row>
    <row r="186" spans="1:13" ht="50.25" customHeight="1" thickBot="1" x14ac:dyDescent="0.3">
      <c r="A186" s="672" t="s">
        <v>708</v>
      </c>
      <c r="B186" s="723" t="s">
        <v>709</v>
      </c>
      <c r="C186" s="669" t="s">
        <v>931</v>
      </c>
      <c r="D186" s="923" t="s">
        <v>878</v>
      </c>
      <c r="E186" s="923" t="s">
        <v>878</v>
      </c>
      <c r="F186" s="943">
        <f t="shared" si="9"/>
        <v>9896.6157108774423</v>
      </c>
      <c r="G186" s="911">
        <f>Workings!T280</f>
        <v>11200</v>
      </c>
      <c r="H186" s="85">
        <f>30/1.1317</f>
        <v>26.508792082707433</v>
      </c>
      <c r="I186" s="85">
        <f>1600/1.1317</f>
        <v>1413.8022444110632</v>
      </c>
      <c r="M186" s="2422" t="s">
        <v>878</v>
      </c>
    </row>
    <row r="187" spans="1:13" ht="31.5" customHeight="1" thickBot="1" x14ac:dyDescent="0.3">
      <c r="A187" s="696"/>
      <c r="B187" s="929" t="s">
        <v>341</v>
      </c>
      <c r="C187" s="810"/>
      <c r="D187" s="1016"/>
      <c r="E187" s="1016"/>
      <c r="F187" s="915">
        <f>SUM(F178:F186)</f>
        <v>236811.87593885305</v>
      </c>
      <c r="G187" s="915">
        <f>SUM(G178:G186)</f>
        <v>268000</v>
      </c>
      <c r="M187" s="2415"/>
    </row>
    <row r="188" spans="1:13" ht="18.75" thickBot="1" x14ac:dyDescent="0.3">
      <c r="A188" s="696"/>
      <c r="B188" s="927"/>
      <c r="C188" s="928"/>
      <c r="D188" s="1024"/>
      <c r="E188" s="1086"/>
      <c r="F188" s="941"/>
      <c r="G188" s="914"/>
      <c r="M188" s="2415"/>
    </row>
    <row r="189" spans="1:13" ht="18.75" thickBot="1" x14ac:dyDescent="0.3">
      <c r="A189" s="696"/>
      <c r="B189" s="725" t="s">
        <v>292</v>
      </c>
      <c r="C189" s="681"/>
      <c r="D189" s="656"/>
      <c r="E189" s="656"/>
      <c r="F189" s="943">
        <v>211099.96</v>
      </c>
      <c r="G189" s="911">
        <f>Workings!T285</f>
        <v>238899.56</v>
      </c>
      <c r="M189" s="2414"/>
    </row>
    <row r="190" spans="1:13" ht="45.75" x14ac:dyDescent="0.25">
      <c r="A190" s="696"/>
      <c r="B190" s="724"/>
      <c r="C190" s="681"/>
      <c r="D190" s="656"/>
      <c r="E190" s="656"/>
      <c r="F190" s="948"/>
      <c r="G190" s="911"/>
      <c r="M190" s="906" t="s">
        <v>635</v>
      </c>
    </row>
    <row r="191" spans="1:13" ht="76.5" thickBot="1" x14ac:dyDescent="0.3">
      <c r="A191" s="696"/>
      <c r="B191" s="958"/>
      <c r="C191" s="959"/>
      <c r="D191" s="960"/>
      <c r="E191" s="960"/>
      <c r="F191" s="961"/>
      <c r="G191" s="911"/>
      <c r="M191" s="906" t="s">
        <v>636</v>
      </c>
    </row>
    <row r="192" spans="1:13" ht="34.5" customHeight="1" thickBot="1" x14ac:dyDescent="0.3">
      <c r="A192" s="726"/>
      <c r="B192" s="962" t="s">
        <v>397</v>
      </c>
      <c r="C192" s="963"/>
      <c r="D192" s="1025"/>
      <c r="E192" s="1025"/>
      <c r="F192" s="2629">
        <f>F15+F26+F45+F55+F58+F84+F90+F116+F164+F175+F187+F189</f>
        <v>4635966.2231439427</v>
      </c>
      <c r="G192" s="964">
        <f>G15+G26+G45+G55+G58+G84+G90+G116+G164+G175+G187+G189-0.7</f>
        <v>5246520.01</v>
      </c>
      <c r="H192" s="176"/>
      <c r="M192" s="2418" t="s">
        <v>1040</v>
      </c>
    </row>
    <row r="193" spans="2:13" ht="30" x14ac:dyDescent="0.2">
      <c r="M193" s="1035" t="s">
        <v>725</v>
      </c>
    </row>
    <row r="194" spans="2:13" ht="60" x14ac:dyDescent="0.2">
      <c r="B194" s="232" t="s">
        <v>294</v>
      </c>
      <c r="G194" s="176"/>
      <c r="M194" s="1035" t="s">
        <v>922</v>
      </c>
    </row>
    <row r="195" spans="2:13" ht="60" x14ac:dyDescent="0.2">
      <c r="M195" s="906" t="s">
        <v>637</v>
      </c>
    </row>
    <row r="196" spans="2:13" ht="16.5" thickBot="1" x14ac:dyDescent="0.3">
      <c r="M196" s="2419"/>
    </row>
    <row r="197" spans="2:13" ht="16.5" thickBot="1" x14ac:dyDescent="0.3">
      <c r="M197" s="2420"/>
    </row>
    <row r="198" spans="2:13" ht="15.75" thickBot="1" x14ac:dyDescent="0.25">
      <c r="M198" s="2421"/>
    </row>
    <row r="199" spans="2:13" ht="15" x14ac:dyDescent="0.2">
      <c r="M199" s="1044"/>
    </row>
    <row r="200" spans="2:13" ht="15.75" x14ac:dyDescent="0.25">
      <c r="M200" s="2415"/>
    </row>
    <row r="201" spans="2:13" ht="15.75" x14ac:dyDescent="0.25">
      <c r="M201" s="2415"/>
    </row>
    <row r="202" spans="2:13" ht="15.75" x14ac:dyDescent="0.25">
      <c r="M202" s="2415"/>
    </row>
    <row r="203" spans="2:13" ht="60" x14ac:dyDescent="0.2">
      <c r="M203" s="1031" t="s">
        <v>638</v>
      </c>
    </row>
    <row r="204" spans="2:13" ht="15" x14ac:dyDescent="0.2">
      <c r="M204" s="1034" t="s">
        <v>541</v>
      </c>
    </row>
    <row r="205" spans="2:13" ht="60" x14ac:dyDescent="0.2">
      <c r="M205" s="906" t="s">
        <v>640</v>
      </c>
    </row>
    <row r="206" spans="2:13" ht="90" x14ac:dyDescent="0.2">
      <c r="M206" s="1052" t="s">
        <v>785</v>
      </c>
    </row>
    <row r="207" spans="2:13" ht="75" x14ac:dyDescent="0.2">
      <c r="M207" s="1053" t="s">
        <v>786</v>
      </c>
    </row>
    <row r="208" spans="2:13" ht="30" x14ac:dyDescent="0.2">
      <c r="M208" s="923" t="s">
        <v>724</v>
      </c>
    </row>
    <row r="209" spans="13:13" ht="15" x14ac:dyDescent="0.2">
      <c r="M209" s="1034" t="s">
        <v>642</v>
      </c>
    </row>
    <row r="210" spans="13:13" ht="90" x14ac:dyDescent="0.2">
      <c r="M210" s="1034" t="s">
        <v>643</v>
      </c>
    </row>
    <row r="211" spans="13:13" ht="45" x14ac:dyDescent="0.2">
      <c r="M211" s="923" t="s">
        <v>878</v>
      </c>
    </row>
    <row r="212" spans="13:13" ht="15.75" x14ac:dyDescent="0.25">
      <c r="M212" s="2415"/>
    </row>
  </sheetData>
  <mergeCells count="6">
    <mergeCell ref="B177:E177"/>
    <mergeCell ref="B166:C166"/>
    <mergeCell ref="C1:E1"/>
    <mergeCell ref="B28:E28"/>
    <mergeCell ref="B86:E86"/>
    <mergeCell ref="B92:E92"/>
  </mergeCells>
  <conditionalFormatting sqref="A123">
    <cfRule type="duplicateValues" dxfId="0" priority="2"/>
  </conditionalFormatting>
  <pageMargins left="0.51" right="0.34" top="0.44" bottom="0.34" header="0.39" footer="0.32"/>
  <pageSetup paperSize="9" fitToWidth="2" orientation="landscape" r:id="rId1"/>
  <headerFooter alignWithMargins="0">
    <oddFooter>&amp;L&amp;"Times New Roman,Gras"&amp;9 2014
&amp;"Times New Roman,Normal"&amp;F&amp;R&amp;P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Normal="100" zoomScaleSheetLayoutView="100" workbookViewId="0">
      <selection activeCell="C21" sqref="C21"/>
    </sheetView>
  </sheetViews>
  <sheetFormatPr defaultRowHeight="15" x14ac:dyDescent="0.25"/>
  <cols>
    <col min="1" max="1" width="25.28515625" style="90" customWidth="1"/>
    <col min="2" max="2" width="47.7109375" style="90" customWidth="1"/>
    <col min="3" max="4" width="20.7109375" style="90" customWidth="1"/>
    <col min="5" max="5" width="21" style="90" customWidth="1"/>
    <col min="6" max="257" width="9.140625" style="90"/>
    <col min="258" max="258" width="25.28515625" style="90" customWidth="1"/>
    <col min="259" max="259" width="47.7109375" style="90" customWidth="1"/>
    <col min="260" max="260" width="20.7109375" style="90" customWidth="1"/>
    <col min="261" max="261" width="12.28515625" style="90" customWidth="1"/>
    <col min="262" max="513" width="9.140625" style="90"/>
    <col min="514" max="514" width="25.28515625" style="90" customWidth="1"/>
    <col min="515" max="515" width="47.7109375" style="90" customWidth="1"/>
    <col min="516" max="516" width="20.7109375" style="90" customWidth="1"/>
    <col min="517" max="517" width="12.28515625" style="90" customWidth="1"/>
    <col min="518" max="769" width="9.140625" style="90"/>
    <col min="770" max="770" width="25.28515625" style="90" customWidth="1"/>
    <col min="771" max="771" width="47.7109375" style="90" customWidth="1"/>
    <col min="772" max="772" width="20.7109375" style="90" customWidth="1"/>
    <col min="773" max="773" width="12.28515625" style="90" customWidth="1"/>
    <col min="774" max="1025" width="9.140625" style="90"/>
    <col min="1026" max="1026" width="25.28515625" style="90" customWidth="1"/>
    <col min="1027" max="1027" width="47.7109375" style="90" customWidth="1"/>
    <col min="1028" max="1028" width="20.7109375" style="90" customWidth="1"/>
    <col min="1029" max="1029" width="12.28515625" style="90" customWidth="1"/>
    <col min="1030" max="1281" width="9.140625" style="90"/>
    <col min="1282" max="1282" width="25.28515625" style="90" customWidth="1"/>
    <col min="1283" max="1283" width="47.7109375" style="90" customWidth="1"/>
    <col min="1284" max="1284" width="20.7109375" style="90" customWidth="1"/>
    <col min="1285" max="1285" width="12.28515625" style="90" customWidth="1"/>
    <col min="1286" max="1537" width="9.140625" style="90"/>
    <col min="1538" max="1538" width="25.28515625" style="90" customWidth="1"/>
    <col min="1539" max="1539" width="47.7109375" style="90" customWidth="1"/>
    <col min="1540" max="1540" width="20.7109375" style="90" customWidth="1"/>
    <col min="1541" max="1541" width="12.28515625" style="90" customWidth="1"/>
    <col min="1542" max="1793" width="9.140625" style="90"/>
    <col min="1794" max="1794" width="25.28515625" style="90" customWidth="1"/>
    <col min="1795" max="1795" width="47.7109375" style="90" customWidth="1"/>
    <col min="1796" max="1796" width="20.7109375" style="90" customWidth="1"/>
    <col min="1797" max="1797" width="12.28515625" style="90" customWidth="1"/>
    <col min="1798" max="2049" width="9.140625" style="90"/>
    <col min="2050" max="2050" width="25.28515625" style="90" customWidth="1"/>
    <col min="2051" max="2051" width="47.7109375" style="90" customWidth="1"/>
    <col min="2052" max="2052" width="20.7109375" style="90" customWidth="1"/>
    <col min="2053" max="2053" width="12.28515625" style="90" customWidth="1"/>
    <col min="2054" max="2305" width="9.140625" style="90"/>
    <col min="2306" max="2306" width="25.28515625" style="90" customWidth="1"/>
    <col min="2307" max="2307" width="47.7109375" style="90" customWidth="1"/>
    <col min="2308" max="2308" width="20.7109375" style="90" customWidth="1"/>
    <col min="2309" max="2309" width="12.28515625" style="90" customWidth="1"/>
    <col min="2310" max="2561" width="9.140625" style="90"/>
    <col min="2562" max="2562" width="25.28515625" style="90" customWidth="1"/>
    <col min="2563" max="2563" width="47.7109375" style="90" customWidth="1"/>
    <col min="2564" max="2564" width="20.7109375" style="90" customWidth="1"/>
    <col min="2565" max="2565" width="12.28515625" style="90" customWidth="1"/>
    <col min="2566" max="2817" width="9.140625" style="90"/>
    <col min="2818" max="2818" width="25.28515625" style="90" customWidth="1"/>
    <col min="2819" max="2819" width="47.7109375" style="90" customWidth="1"/>
    <col min="2820" max="2820" width="20.7109375" style="90" customWidth="1"/>
    <col min="2821" max="2821" width="12.28515625" style="90" customWidth="1"/>
    <col min="2822" max="3073" width="9.140625" style="90"/>
    <col min="3074" max="3074" width="25.28515625" style="90" customWidth="1"/>
    <col min="3075" max="3075" width="47.7109375" style="90" customWidth="1"/>
    <col min="3076" max="3076" width="20.7109375" style="90" customWidth="1"/>
    <col min="3077" max="3077" width="12.28515625" style="90" customWidth="1"/>
    <col min="3078" max="3329" width="9.140625" style="90"/>
    <col min="3330" max="3330" width="25.28515625" style="90" customWidth="1"/>
    <col min="3331" max="3331" width="47.7109375" style="90" customWidth="1"/>
    <col min="3332" max="3332" width="20.7109375" style="90" customWidth="1"/>
    <col min="3333" max="3333" width="12.28515625" style="90" customWidth="1"/>
    <col min="3334" max="3585" width="9.140625" style="90"/>
    <col min="3586" max="3586" width="25.28515625" style="90" customWidth="1"/>
    <col min="3587" max="3587" width="47.7109375" style="90" customWidth="1"/>
    <col min="3588" max="3588" width="20.7109375" style="90" customWidth="1"/>
    <col min="3589" max="3589" width="12.28515625" style="90" customWidth="1"/>
    <col min="3590" max="3841" width="9.140625" style="90"/>
    <col min="3842" max="3842" width="25.28515625" style="90" customWidth="1"/>
    <col min="3843" max="3843" width="47.7109375" style="90" customWidth="1"/>
    <col min="3844" max="3844" width="20.7109375" style="90" customWidth="1"/>
    <col min="3845" max="3845" width="12.28515625" style="90" customWidth="1"/>
    <col min="3846" max="4097" width="9.140625" style="90"/>
    <col min="4098" max="4098" width="25.28515625" style="90" customWidth="1"/>
    <col min="4099" max="4099" width="47.7109375" style="90" customWidth="1"/>
    <col min="4100" max="4100" width="20.7109375" style="90" customWidth="1"/>
    <col min="4101" max="4101" width="12.28515625" style="90" customWidth="1"/>
    <col min="4102" max="4353" width="9.140625" style="90"/>
    <col min="4354" max="4354" width="25.28515625" style="90" customWidth="1"/>
    <col min="4355" max="4355" width="47.7109375" style="90" customWidth="1"/>
    <col min="4356" max="4356" width="20.7109375" style="90" customWidth="1"/>
    <col min="4357" max="4357" width="12.28515625" style="90" customWidth="1"/>
    <col min="4358" max="4609" width="9.140625" style="90"/>
    <col min="4610" max="4610" width="25.28515625" style="90" customWidth="1"/>
    <col min="4611" max="4611" width="47.7109375" style="90" customWidth="1"/>
    <col min="4612" max="4612" width="20.7109375" style="90" customWidth="1"/>
    <col min="4613" max="4613" width="12.28515625" style="90" customWidth="1"/>
    <col min="4614" max="4865" width="9.140625" style="90"/>
    <col min="4866" max="4866" width="25.28515625" style="90" customWidth="1"/>
    <col min="4867" max="4867" width="47.7109375" style="90" customWidth="1"/>
    <col min="4868" max="4868" width="20.7109375" style="90" customWidth="1"/>
    <col min="4869" max="4869" width="12.28515625" style="90" customWidth="1"/>
    <col min="4870" max="5121" width="9.140625" style="90"/>
    <col min="5122" max="5122" width="25.28515625" style="90" customWidth="1"/>
    <col min="5123" max="5123" width="47.7109375" style="90" customWidth="1"/>
    <col min="5124" max="5124" width="20.7109375" style="90" customWidth="1"/>
    <col min="5125" max="5125" width="12.28515625" style="90" customWidth="1"/>
    <col min="5126" max="5377" width="9.140625" style="90"/>
    <col min="5378" max="5378" width="25.28515625" style="90" customWidth="1"/>
    <col min="5379" max="5379" width="47.7109375" style="90" customWidth="1"/>
    <col min="5380" max="5380" width="20.7109375" style="90" customWidth="1"/>
    <col min="5381" max="5381" width="12.28515625" style="90" customWidth="1"/>
    <col min="5382" max="5633" width="9.140625" style="90"/>
    <col min="5634" max="5634" width="25.28515625" style="90" customWidth="1"/>
    <col min="5635" max="5635" width="47.7109375" style="90" customWidth="1"/>
    <col min="5636" max="5636" width="20.7109375" style="90" customWidth="1"/>
    <col min="5637" max="5637" width="12.28515625" style="90" customWidth="1"/>
    <col min="5638" max="5889" width="9.140625" style="90"/>
    <col min="5890" max="5890" width="25.28515625" style="90" customWidth="1"/>
    <col min="5891" max="5891" width="47.7109375" style="90" customWidth="1"/>
    <col min="5892" max="5892" width="20.7109375" style="90" customWidth="1"/>
    <col min="5893" max="5893" width="12.28515625" style="90" customWidth="1"/>
    <col min="5894" max="6145" width="9.140625" style="90"/>
    <col min="6146" max="6146" width="25.28515625" style="90" customWidth="1"/>
    <col min="6147" max="6147" width="47.7109375" style="90" customWidth="1"/>
    <col min="6148" max="6148" width="20.7109375" style="90" customWidth="1"/>
    <col min="6149" max="6149" width="12.28515625" style="90" customWidth="1"/>
    <col min="6150" max="6401" width="9.140625" style="90"/>
    <col min="6402" max="6402" width="25.28515625" style="90" customWidth="1"/>
    <col min="6403" max="6403" width="47.7109375" style="90" customWidth="1"/>
    <col min="6404" max="6404" width="20.7109375" style="90" customWidth="1"/>
    <col min="6405" max="6405" width="12.28515625" style="90" customWidth="1"/>
    <col min="6406" max="6657" width="9.140625" style="90"/>
    <col min="6658" max="6658" width="25.28515625" style="90" customWidth="1"/>
    <col min="6659" max="6659" width="47.7109375" style="90" customWidth="1"/>
    <col min="6660" max="6660" width="20.7109375" style="90" customWidth="1"/>
    <col min="6661" max="6661" width="12.28515625" style="90" customWidth="1"/>
    <col min="6662" max="6913" width="9.140625" style="90"/>
    <col min="6914" max="6914" width="25.28515625" style="90" customWidth="1"/>
    <col min="6915" max="6915" width="47.7109375" style="90" customWidth="1"/>
    <col min="6916" max="6916" width="20.7109375" style="90" customWidth="1"/>
    <col min="6917" max="6917" width="12.28515625" style="90" customWidth="1"/>
    <col min="6918" max="7169" width="9.140625" style="90"/>
    <col min="7170" max="7170" width="25.28515625" style="90" customWidth="1"/>
    <col min="7171" max="7171" width="47.7109375" style="90" customWidth="1"/>
    <col min="7172" max="7172" width="20.7109375" style="90" customWidth="1"/>
    <col min="7173" max="7173" width="12.28515625" style="90" customWidth="1"/>
    <col min="7174" max="7425" width="9.140625" style="90"/>
    <col min="7426" max="7426" width="25.28515625" style="90" customWidth="1"/>
    <col min="7427" max="7427" width="47.7109375" style="90" customWidth="1"/>
    <col min="7428" max="7428" width="20.7109375" style="90" customWidth="1"/>
    <col min="7429" max="7429" width="12.28515625" style="90" customWidth="1"/>
    <col min="7430" max="7681" width="9.140625" style="90"/>
    <col min="7682" max="7682" width="25.28515625" style="90" customWidth="1"/>
    <col min="7683" max="7683" width="47.7109375" style="90" customWidth="1"/>
    <col min="7684" max="7684" width="20.7109375" style="90" customWidth="1"/>
    <col min="7685" max="7685" width="12.28515625" style="90" customWidth="1"/>
    <col min="7686" max="7937" width="9.140625" style="90"/>
    <col min="7938" max="7938" width="25.28515625" style="90" customWidth="1"/>
    <col min="7939" max="7939" width="47.7109375" style="90" customWidth="1"/>
    <col min="7940" max="7940" width="20.7109375" style="90" customWidth="1"/>
    <col min="7941" max="7941" width="12.28515625" style="90" customWidth="1"/>
    <col min="7942" max="8193" width="9.140625" style="90"/>
    <col min="8194" max="8194" width="25.28515625" style="90" customWidth="1"/>
    <col min="8195" max="8195" width="47.7109375" style="90" customWidth="1"/>
    <col min="8196" max="8196" width="20.7109375" style="90" customWidth="1"/>
    <col min="8197" max="8197" width="12.28515625" style="90" customWidth="1"/>
    <col min="8198" max="8449" width="9.140625" style="90"/>
    <col min="8450" max="8450" width="25.28515625" style="90" customWidth="1"/>
    <col min="8451" max="8451" width="47.7109375" style="90" customWidth="1"/>
    <col min="8452" max="8452" width="20.7109375" style="90" customWidth="1"/>
    <col min="8453" max="8453" width="12.28515625" style="90" customWidth="1"/>
    <col min="8454" max="8705" width="9.140625" style="90"/>
    <col min="8706" max="8706" width="25.28515625" style="90" customWidth="1"/>
    <col min="8707" max="8707" width="47.7109375" style="90" customWidth="1"/>
    <col min="8708" max="8708" width="20.7109375" style="90" customWidth="1"/>
    <col min="8709" max="8709" width="12.28515625" style="90" customWidth="1"/>
    <col min="8710" max="8961" width="9.140625" style="90"/>
    <col min="8962" max="8962" width="25.28515625" style="90" customWidth="1"/>
    <col min="8963" max="8963" width="47.7109375" style="90" customWidth="1"/>
    <col min="8964" max="8964" width="20.7109375" style="90" customWidth="1"/>
    <col min="8965" max="8965" width="12.28515625" style="90" customWidth="1"/>
    <col min="8966" max="9217" width="9.140625" style="90"/>
    <col min="9218" max="9218" width="25.28515625" style="90" customWidth="1"/>
    <col min="9219" max="9219" width="47.7109375" style="90" customWidth="1"/>
    <col min="9220" max="9220" width="20.7109375" style="90" customWidth="1"/>
    <col min="9221" max="9221" width="12.28515625" style="90" customWidth="1"/>
    <col min="9222" max="9473" width="9.140625" style="90"/>
    <col min="9474" max="9474" width="25.28515625" style="90" customWidth="1"/>
    <col min="9475" max="9475" width="47.7109375" style="90" customWidth="1"/>
    <col min="9476" max="9476" width="20.7109375" style="90" customWidth="1"/>
    <col min="9477" max="9477" width="12.28515625" style="90" customWidth="1"/>
    <col min="9478" max="9729" width="9.140625" style="90"/>
    <col min="9730" max="9730" width="25.28515625" style="90" customWidth="1"/>
    <col min="9731" max="9731" width="47.7109375" style="90" customWidth="1"/>
    <col min="9732" max="9732" width="20.7109375" style="90" customWidth="1"/>
    <col min="9733" max="9733" width="12.28515625" style="90" customWidth="1"/>
    <col min="9734" max="9985" width="9.140625" style="90"/>
    <col min="9986" max="9986" width="25.28515625" style="90" customWidth="1"/>
    <col min="9987" max="9987" width="47.7109375" style="90" customWidth="1"/>
    <col min="9988" max="9988" width="20.7109375" style="90" customWidth="1"/>
    <col min="9989" max="9989" width="12.28515625" style="90" customWidth="1"/>
    <col min="9990" max="10241" width="9.140625" style="90"/>
    <col min="10242" max="10242" width="25.28515625" style="90" customWidth="1"/>
    <col min="10243" max="10243" width="47.7109375" style="90" customWidth="1"/>
    <col min="10244" max="10244" width="20.7109375" style="90" customWidth="1"/>
    <col min="10245" max="10245" width="12.28515625" style="90" customWidth="1"/>
    <col min="10246" max="10497" width="9.140625" style="90"/>
    <col min="10498" max="10498" width="25.28515625" style="90" customWidth="1"/>
    <col min="10499" max="10499" width="47.7109375" style="90" customWidth="1"/>
    <col min="10500" max="10500" width="20.7109375" style="90" customWidth="1"/>
    <col min="10501" max="10501" width="12.28515625" style="90" customWidth="1"/>
    <col min="10502" max="10753" width="9.140625" style="90"/>
    <col min="10754" max="10754" width="25.28515625" style="90" customWidth="1"/>
    <col min="10755" max="10755" width="47.7109375" style="90" customWidth="1"/>
    <col min="10756" max="10756" width="20.7109375" style="90" customWidth="1"/>
    <col min="10757" max="10757" width="12.28515625" style="90" customWidth="1"/>
    <col min="10758" max="11009" width="9.140625" style="90"/>
    <col min="11010" max="11010" width="25.28515625" style="90" customWidth="1"/>
    <col min="11011" max="11011" width="47.7109375" style="90" customWidth="1"/>
    <col min="11012" max="11012" width="20.7109375" style="90" customWidth="1"/>
    <col min="11013" max="11013" width="12.28515625" style="90" customWidth="1"/>
    <col min="11014" max="11265" width="9.140625" style="90"/>
    <col min="11266" max="11266" width="25.28515625" style="90" customWidth="1"/>
    <col min="11267" max="11267" width="47.7109375" style="90" customWidth="1"/>
    <col min="11268" max="11268" width="20.7109375" style="90" customWidth="1"/>
    <col min="11269" max="11269" width="12.28515625" style="90" customWidth="1"/>
    <col min="11270" max="11521" width="9.140625" style="90"/>
    <col min="11522" max="11522" width="25.28515625" style="90" customWidth="1"/>
    <col min="11523" max="11523" width="47.7109375" style="90" customWidth="1"/>
    <col min="11524" max="11524" width="20.7109375" style="90" customWidth="1"/>
    <col min="11525" max="11525" width="12.28515625" style="90" customWidth="1"/>
    <col min="11526" max="11777" width="9.140625" style="90"/>
    <col min="11778" max="11778" width="25.28515625" style="90" customWidth="1"/>
    <col min="11779" max="11779" width="47.7109375" style="90" customWidth="1"/>
    <col min="11780" max="11780" width="20.7109375" style="90" customWidth="1"/>
    <col min="11781" max="11781" width="12.28515625" style="90" customWidth="1"/>
    <col min="11782" max="12033" width="9.140625" style="90"/>
    <col min="12034" max="12034" width="25.28515625" style="90" customWidth="1"/>
    <col min="12035" max="12035" width="47.7109375" style="90" customWidth="1"/>
    <col min="12036" max="12036" width="20.7109375" style="90" customWidth="1"/>
    <col min="12037" max="12037" width="12.28515625" style="90" customWidth="1"/>
    <col min="12038" max="12289" width="9.140625" style="90"/>
    <col min="12290" max="12290" width="25.28515625" style="90" customWidth="1"/>
    <col min="12291" max="12291" width="47.7109375" style="90" customWidth="1"/>
    <col min="12292" max="12292" width="20.7109375" style="90" customWidth="1"/>
    <col min="12293" max="12293" width="12.28515625" style="90" customWidth="1"/>
    <col min="12294" max="12545" width="9.140625" style="90"/>
    <col min="12546" max="12546" width="25.28515625" style="90" customWidth="1"/>
    <col min="12547" max="12547" width="47.7109375" style="90" customWidth="1"/>
    <col min="12548" max="12548" width="20.7109375" style="90" customWidth="1"/>
    <col min="12549" max="12549" width="12.28515625" style="90" customWidth="1"/>
    <col min="12550" max="12801" width="9.140625" style="90"/>
    <col min="12802" max="12802" width="25.28515625" style="90" customWidth="1"/>
    <col min="12803" max="12803" width="47.7109375" style="90" customWidth="1"/>
    <col min="12804" max="12804" width="20.7109375" style="90" customWidth="1"/>
    <col min="12805" max="12805" width="12.28515625" style="90" customWidth="1"/>
    <col min="12806" max="13057" width="9.140625" style="90"/>
    <col min="13058" max="13058" width="25.28515625" style="90" customWidth="1"/>
    <col min="13059" max="13059" width="47.7109375" style="90" customWidth="1"/>
    <col min="13060" max="13060" width="20.7109375" style="90" customWidth="1"/>
    <col min="13061" max="13061" width="12.28515625" style="90" customWidth="1"/>
    <col min="13062" max="13313" width="9.140625" style="90"/>
    <col min="13314" max="13314" width="25.28515625" style="90" customWidth="1"/>
    <col min="13315" max="13315" width="47.7109375" style="90" customWidth="1"/>
    <col min="13316" max="13316" width="20.7109375" style="90" customWidth="1"/>
    <col min="13317" max="13317" width="12.28515625" style="90" customWidth="1"/>
    <col min="13318" max="13569" width="9.140625" style="90"/>
    <col min="13570" max="13570" width="25.28515625" style="90" customWidth="1"/>
    <col min="13571" max="13571" width="47.7109375" style="90" customWidth="1"/>
    <col min="13572" max="13572" width="20.7109375" style="90" customWidth="1"/>
    <col min="13573" max="13573" width="12.28515625" style="90" customWidth="1"/>
    <col min="13574" max="13825" width="9.140625" style="90"/>
    <col min="13826" max="13826" width="25.28515625" style="90" customWidth="1"/>
    <col min="13827" max="13827" width="47.7109375" style="90" customWidth="1"/>
    <col min="13828" max="13828" width="20.7109375" style="90" customWidth="1"/>
    <col min="13829" max="13829" width="12.28515625" style="90" customWidth="1"/>
    <col min="13830" max="14081" width="9.140625" style="90"/>
    <col min="14082" max="14082" width="25.28515625" style="90" customWidth="1"/>
    <col min="14083" max="14083" width="47.7109375" style="90" customWidth="1"/>
    <col min="14084" max="14084" width="20.7109375" style="90" customWidth="1"/>
    <col min="14085" max="14085" width="12.28515625" style="90" customWidth="1"/>
    <col min="14086" max="14337" width="9.140625" style="90"/>
    <col min="14338" max="14338" width="25.28515625" style="90" customWidth="1"/>
    <col min="14339" max="14339" width="47.7109375" style="90" customWidth="1"/>
    <col min="14340" max="14340" width="20.7109375" style="90" customWidth="1"/>
    <col min="14341" max="14341" width="12.28515625" style="90" customWidth="1"/>
    <col min="14342" max="14593" width="9.140625" style="90"/>
    <col min="14594" max="14594" width="25.28515625" style="90" customWidth="1"/>
    <col min="14595" max="14595" width="47.7109375" style="90" customWidth="1"/>
    <col min="14596" max="14596" width="20.7109375" style="90" customWidth="1"/>
    <col min="14597" max="14597" width="12.28515625" style="90" customWidth="1"/>
    <col min="14598" max="14849" width="9.140625" style="90"/>
    <col min="14850" max="14850" width="25.28515625" style="90" customWidth="1"/>
    <col min="14851" max="14851" width="47.7109375" style="90" customWidth="1"/>
    <col min="14852" max="14852" width="20.7109375" style="90" customWidth="1"/>
    <col min="14853" max="14853" width="12.28515625" style="90" customWidth="1"/>
    <col min="14854" max="15105" width="9.140625" style="90"/>
    <col min="15106" max="15106" width="25.28515625" style="90" customWidth="1"/>
    <col min="15107" max="15107" width="47.7109375" style="90" customWidth="1"/>
    <col min="15108" max="15108" width="20.7109375" style="90" customWidth="1"/>
    <col min="15109" max="15109" width="12.28515625" style="90" customWidth="1"/>
    <col min="15110" max="15361" width="9.140625" style="90"/>
    <col min="15362" max="15362" width="25.28515625" style="90" customWidth="1"/>
    <col min="15363" max="15363" width="47.7109375" style="90" customWidth="1"/>
    <col min="15364" max="15364" width="20.7109375" style="90" customWidth="1"/>
    <col min="15365" max="15365" width="12.28515625" style="90" customWidth="1"/>
    <col min="15366" max="15617" width="9.140625" style="90"/>
    <col min="15618" max="15618" width="25.28515625" style="90" customWidth="1"/>
    <col min="15619" max="15619" width="47.7109375" style="90" customWidth="1"/>
    <col min="15620" max="15620" width="20.7109375" style="90" customWidth="1"/>
    <col min="15621" max="15621" width="12.28515625" style="90" customWidth="1"/>
    <col min="15622" max="15873" width="9.140625" style="90"/>
    <col min="15874" max="15874" width="25.28515625" style="90" customWidth="1"/>
    <col min="15875" max="15875" width="47.7109375" style="90" customWidth="1"/>
    <col min="15876" max="15876" width="20.7109375" style="90" customWidth="1"/>
    <col min="15877" max="15877" width="12.28515625" style="90" customWidth="1"/>
    <col min="15878" max="16129" width="9.140625" style="90"/>
    <col min="16130" max="16130" width="25.28515625" style="90" customWidth="1"/>
    <col min="16131" max="16131" width="47.7109375" style="90" customWidth="1"/>
    <col min="16132" max="16132" width="20.7109375" style="90" customWidth="1"/>
    <col min="16133" max="16133" width="12.28515625" style="90" customWidth="1"/>
    <col min="16134" max="16384" width="9.140625" style="90"/>
  </cols>
  <sheetData>
    <row r="1" spans="1:6" ht="18.75" x14ac:dyDescent="0.25">
      <c r="A1" s="88" t="s">
        <v>303</v>
      </c>
      <c r="B1" s="89"/>
      <c r="C1" s="89"/>
      <c r="D1" s="89"/>
      <c r="E1" s="89"/>
      <c r="F1" s="85"/>
    </row>
    <row r="2" spans="1:6" ht="15.75" thickBot="1" x14ac:dyDescent="0.3">
      <c r="A2" s="91"/>
      <c r="B2" s="89"/>
      <c r="C2" s="89"/>
      <c r="D2" s="89"/>
      <c r="E2" s="89"/>
      <c r="F2" s="85"/>
    </row>
    <row r="3" spans="1:6" x14ac:dyDescent="0.25">
      <c r="A3" s="92"/>
      <c r="B3" s="93"/>
      <c r="C3" s="94" t="s">
        <v>304</v>
      </c>
      <c r="D3" s="94" t="s">
        <v>304</v>
      </c>
      <c r="E3" s="95" t="s">
        <v>305</v>
      </c>
      <c r="F3" s="85"/>
    </row>
    <row r="4" spans="1:6" ht="45.75" customHeight="1" thickBot="1" x14ac:dyDescent="0.3">
      <c r="A4" s="96"/>
      <c r="B4" s="97"/>
      <c r="C4" s="2507" t="s">
        <v>306</v>
      </c>
      <c r="D4" s="2508" t="s">
        <v>845</v>
      </c>
      <c r="E4" s="2509" t="s">
        <v>307</v>
      </c>
      <c r="F4" s="85"/>
    </row>
    <row r="5" spans="1:6" ht="15.75" thickBot="1" x14ac:dyDescent="0.3">
      <c r="A5" s="98" t="s">
        <v>308</v>
      </c>
      <c r="B5" s="2503"/>
      <c r="C5" s="2510"/>
      <c r="D5" s="2511"/>
      <c r="E5" s="2512"/>
      <c r="F5" s="99"/>
    </row>
    <row r="6" spans="1:6" x14ac:dyDescent="0.25">
      <c r="A6" s="100"/>
      <c r="B6" s="97"/>
      <c r="C6" s="2510"/>
      <c r="D6" s="2511"/>
      <c r="E6" s="2512"/>
      <c r="F6" s="85"/>
    </row>
    <row r="7" spans="1:6" x14ac:dyDescent="0.25">
      <c r="A7" s="101" t="s">
        <v>309</v>
      </c>
      <c r="B7" s="97"/>
      <c r="C7" s="2513">
        <f>1800000</f>
        <v>1800000</v>
      </c>
      <c r="D7" s="2514">
        <f>'PSP Workplan 2015-18 '!G307</f>
        <v>2002713.21</v>
      </c>
      <c r="E7" s="2515"/>
      <c r="F7" s="85"/>
    </row>
    <row r="8" spans="1:6" x14ac:dyDescent="0.25">
      <c r="A8" s="100"/>
      <c r="B8" s="97"/>
      <c r="C8" s="2516"/>
      <c r="D8" s="2517"/>
      <c r="E8" s="2512"/>
      <c r="F8" s="85"/>
    </row>
    <row r="9" spans="1:6" x14ac:dyDescent="0.25">
      <c r="A9" s="100" t="s">
        <v>310</v>
      </c>
      <c r="B9" s="102"/>
      <c r="C9" s="2516"/>
      <c r="D9" s="2517"/>
      <c r="E9" s="2512"/>
      <c r="F9" s="103"/>
    </row>
    <row r="10" spans="1:6" ht="15.75" x14ac:dyDescent="0.25">
      <c r="A10" s="104" t="s">
        <v>311</v>
      </c>
      <c r="B10" s="2504" t="s">
        <v>312</v>
      </c>
      <c r="C10" s="2516"/>
      <c r="D10" s="2517"/>
      <c r="E10" s="2512"/>
      <c r="F10" s="103"/>
    </row>
    <row r="11" spans="1:6" x14ac:dyDescent="0.25">
      <c r="A11" s="105" t="s">
        <v>296</v>
      </c>
      <c r="B11" s="2505"/>
      <c r="C11" s="2513">
        <f>1500000/1.1317</f>
        <v>1325439.6041353717</v>
      </c>
      <c r="D11" s="2514">
        <f>'PSP Workplan 2015-18 '!H307</f>
        <v>1500000</v>
      </c>
      <c r="E11" s="2512"/>
      <c r="F11" s="103"/>
    </row>
    <row r="12" spans="1:6" x14ac:dyDescent="0.25">
      <c r="A12" s="728" t="s">
        <v>30</v>
      </c>
      <c r="B12" s="2505"/>
      <c r="C12" s="2513">
        <f>D12/1.1317</f>
        <v>1540874.6134134489</v>
      </c>
      <c r="D12" s="2514">
        <f>'PSP Workplan 2015-18 '!F307</f>
        <v>1743807.8</v>
      </c>
      <c r="E12" s="2515"/>
      <c r="F12" s="103"/>
    </row>
    <row r="13" spans="1:6" x14ac:dyDescent="0.25">
      <c r="A13" s="106" t="s">
        <v>313</v>
      </c>
      <c r="B13" s="2505"/>
      <c r="C13" s="2513"/>
      <c r="D13" s="2514">
        <v>0</v>
      </c>
      <c r="E13" s="2512"/>
      <c r="F13" s="103"/>
    </row>
    <row r="14" spans="1:6" x14ac:dyDescent="0.25">
      <c r="A14" s="100"/>
      <c r="B14" s="97"/>
      <c r="C14" s="2516"/>
      <c r="D14" s="2517"/>
      <c r="E14" s="2512"/>
      <c r="F14" s="103"/>
    </row>
    <row r="15" spans="1:6" x14ac:dyDescent="0.25">
      <c r="A15" s="100"/>
      <c r="B15" s="97"/>
      <c r="C15" s="2516"/>
      <c r="D15" s="2517"/>
      <c r="E15" s="2512"/>
      <c r="F15" s="103"/>
    </row>
    <row r="16" spans="1:6" x14ac:dyDescent="0.25">
      <c r="A16" s="100" t="s">
        <v>314</v>
      </c>
      <c r="B16" s="97" t="s">
        <v>1124</v>
      </c>
      <c r="C16" s="2513">
        <f>-4666314.22+C21</f>
        <v>-30348.109073816799</v>
      </c>
      <c r="D16" s="2514">
        <v>0</v>
      </c>
      <c r="E16" s="2512"/>
      <c r="F16" s="103"/>
    </row>
    <row r="17" spans="1:6" x14ac:dyDescent="0.25">
      <c r="A17" s="100"/>
      <c r="B17" s="97"/>
      <c r="C17" s="2516"/>
      <c r="D17" s="2517"/>
      <c r="E17" s="2512"/>
      <c r="F17" s="99"/>
    </row>
    <row r="18" spans="1:6" x14ac:dyDescent="0.25">
      <c r="A18" s="107" t="s">
        <v>315</v>
      </c>
      <c r="B18" s="108"/>
      <c r="C18" s="2516"/>
      <c r="D18" s="2517"/>
      <c r="E18" s="2512"/>
      <c r="F18" s="103"/>
    </row>
    <row r="19" spans="1:6" ht="15.75" x14ac:dyDescent="0.25">
      <c r="A19" s="109" t="s">
        <v>316</v>
      </c>
      <c r="B19" s="110"/>
      <c r="C19" s="2513"/>
      <c r="D19" s="2514">
        <v>0</v>
      </c>
      <c r="E19" s="2512"/>
      <c r="F19" s="103"/>
    </row>
    <row r="20" spans="1:6" x14ac:dyDescent="0.25">
      <c r="A20" s="100"/>
      <c r="B20" s="97"/>
      <c r="C20" s="2516"/>
      <c r="D20" s="2517"/>
      <c r="E20" s="2512"/>
      <c r="F20" s="103"/>
    </row>
    <row r="21" spans="1:6" x14ac:dyDescent="0.25">
      <c r="A21" s="100" t="s">
        <v>317</v>
      </c>
      <c r="B21" s="97"/>
      <c r="C21" s="2631">
        <f>+D21/1.131699632+1</f>
        <v>4635966.1109261829</v>
      </c>
      <c r="D21" s="2514">
        <f>SUM(D7:D20)-1</f>
        <v>5246520.01</v>
      </c>
      <c r="E21" s="2512"/>
      <c r="F21" s="103"/>
    </row>
    <row r="22" spans="1:6" ht="15.75" thickBot="1" x14ac:dyDescent="0.3">
      <c r="A22" s="100"/>
      <c r="B22" s="97"/>
      <c r="C22" s="2510"/>
      <c r="D22" s="2511"/>
      <c r="E22" s="2512"/>
      <c r="F22" s="103"/>
    </row>
    <row r="23" spans="1:6" ht="15.75" thickBot="1" x14ac:dyDescent="0.3">
      <c r="A23" s="111" t="s">
        <v>318</v>
      </c>
      <c r="B23" s="2506"/>
      <c r="C23" s="2510"/>
      <c r="D23" s="2511"/>
      <c r="E23" s="2512"/>
      <c r="F23" s="103"/>
    </row>
    <row r="24" spans="1:6" ht="15.75" thickBot="1" x14ac:dyDescent="0.3">
      <c r="A24" s="100"/>
      <c r="B24" s="97"/>
      <c r="C24" s="2510"/>
      <c r="D24" s="2511"/>
      <c r="E24" s="2512"/>
      <c r="F24" s="85"/>
    </row>
    <row r="25" spans="1:6" ht="16.5" thickBot="1" x14ac:dyDescent="0.3">
      <c r="A25" s="100" t="s">
        <v>319</v>
      </c>
      <c r="B25" s="112"/>
      <c r="C25" s="2518">
        <f>C7/C21</f>
        <v>0.38826858456918106</v>
      </c>
      <c r="D25" s="2519"/>
      <c r="E25" s="2512"/>
      <c r="F25" s="99"/>
    </row>
    <row r="26" spans="1:6" ht="15.75" thickBot="1" x14ac:dyDescent="0.3">
      <c r="A26" s="113" t="s">
        <v>320</v>
      </c>
      <c r="B26" s="97"/>
      <c r="C26" s="2510"/>
      <c r="D26" s="2511"/>
      <c r="E26" s="114"/>
      <c r="F26" s="103"/>
    </row>
    <row r="27" spans="1:6" ht="15.75" thickTop="1" x14ac:dyDescent="0.25">
      <c r="A27" s="101"/>
      <c r="B27" s="97"/>
      <c r="C27" s="2510"/>
      <c r="D27" s="2511"/>
      <c r="E27" s="2512"/>
      <c r="F27" s="103"/>
    </row>
    <row r="28" spans="1:6" s="118" customFormat="1" x14ac:dyDescent="0.25">
      <c r="A28" s="115" t="s">
        <v>315</v>
      </c>
      <c r="B28" s="116"/>
      <c r="C28" s="2520"/>
      <c r="D28" s="2521"/>
      <c r="E28" s="2522"/>
      <c r="F28" s="117"/>
    </row>
    <row r="29" spans="1:6" s="118" customFormat="1" ht="15.75" x14ac:dyDescent="0.25">
      <c r="A29" s="119" t="s">
        <v>321</v>
      </c>
      <c r="B29" s="120"/>
      <c r="C29" s="2523">
        <v>0</v>
      </c>
      <c r="D29" s="2524"/>
      <c r="E29" s="2522"/>
      <c r="F29" s="117"/>
    </row>
    <row r="30" spans="1:6" x14ac:dyDescent="0.25">
      <c r="A30" s="121"/>
      <c r="B30" s="122"/>
      <c r="C30" s="2510"/>
      <c r="D30" s="2511"/>
      <c r="E30" s="2512"/>
      <c r="F30" s="103"/>
    </row>
    <row r="31" spans="1:6" ht="16.5" thickBot="1" x14ac:dyDescent="0.3">
      <c r="A31" s="123" t="s">
        <v>322</v>
      </c>
      <c r="B31" s="122"/>
      <c r="C31" s="2525"/>
      <c r="D31" s="2526"/>
      <c r="E31" s="2512"/>
      <c r="F31" s="103"/>
    </row>
    <row r="32" spans="1:6" ht="16.5" thickTop="1" thickBot="1" x14ac:dyDescent="0.3">
      <c r="A32" s="124" t="s">
        <v>323</v>
      </c>
      <c r="B32" s="125"/>
      <c r="C32" s="2510"/>
      <c r="D32" s="2511"/>
      <c r="E32" s="114"/>
      <c r="F32" s="103"/>
    </row>
    <row r="33" spans="1:6" ht="16.5" thickTop="1" thickBot="1" x14ac:dyDescent="0.3">
      <c r="A33" s="126"/>
      <c r="B33" s="727"/>
      <c r="C33" s="2527"/>
      <c r="D33" s="2528"/>
      <c r="E33" s="2529"/>
      <c r="F33" s="103"/>
    </row>
    <row r="34" spans="1:6" x14ac:dyDescent="0.25">
      <c r="A34" s="127"/>
      <c r="B34" s="127"/>
      <c r="C34" s="127"/>
      <c r="D34" s="127"/>
      <c r="E34" s="127"/>
    </row>
    <row r="35" spans="1:6" ht="39.75" customHeight="1" x14ac:dyDescent="0.25">
      <c r="A35" s="2764" t="s">
        <v>324</v>
      </c>
      <c r="B35" s="2765"/>
      <c r="C35" s="2765"/>
      <c r="D35" s="2765"/>
      <c r="E35" s="2765"/>
    </row>
    <row r="36" spans="1:6" x14ac:dyDescent="0.25">
      <c r="A36" s="128" t="s">
        <v>325</v>
      </c>
      <c r="B36" s="128"/>
      <c r="C36" s="128"/>
      <c r="D36" s="128"/>
      <c r="E36" s="128"/>
    </row>
    <row r="37" spans="1:6" x14ac:dyDescent="0.25">
      <c r="A37" s="128" t="s">
        <v>326</v>
      </c>
      <c r="B37" s="128"/>
      <c r="C37" s="128"/>
      <c r="D37" s="128"/>
      <c r="E37" s="128"/>
    </row>
    <row r="38" spans="1:6" x14ac:dyDescent="0.25">
      <c r="A38" s="128" t="s">
        <v>327</v>
      </c>
      <c r="B38" s="128"/>
      <c r="C38" s="128"/>
      <c r="D38" s="128"/>
      <c r="E38" s="128"/>
    </row>
    <row r="39" spans="1:6" x14ac:dyDescent="0.25">
      <c r="A39" s="129" t="s">
        <v>328</v>
      </c>
      <c r="B39" s="129"/>
      <c r="C39" s="129"/>
      <c r="D39" s="129"/>
      <c r="E39" s="129"/>
    </row>
    <row r="40" spans="1:6" x14ac:dyDescent="0.25">
      <c r="A40" s="129" t="s">
        <v>329</v>
      </c>
      <c r="B40" s="129"/>
      <c r="C40" s="129"/>
      <c r="D40" s="129"/>
      <c r="E40" s="129"/>
    </row>
    <row r="41" spans="1:6" ht="37.5" customHeight="1" x14ac:dyDescent="0.25">
      <c r="A41" s="2766" t="s">
        <v>1142</v>
      </c>
      <c r="B41" s="2766"/>
      <c r="C41" s="2766"/>
      <c r="D41" s="2766"/>
      <c r="E41" s="2766"/>
    </row>
  </sheetData>
  <mergeCells count="2">
    <mergeCell ref="A35:E35"/>
    <mergeCell ref="A41:E41"/>
  </mergeCells>
  <pageMargins left="0.5" right="0.42" top="0.75" bottom="0.75" header="0.3" footer="0.3"/>
  <pageSetup scale="71" orientation="portrait" r:id="rId1"/>
  <headerFooter alignWithMargins="0">
    <oddFooter>&amp;L&amp;"Times New Roman,Gras"2014&amp;"Arial,Gras"
&amp;"Arial,Normal"&amp;F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0"/>
  <sheetViews>
    <sheetView view="pageBreakPreview" zoomScale="60" zoomScaleNormal="100" workbookViewId="0">
      <selection activeCell="G18" sqref="G18"/>
    </sheetView>
  </sheetViews>
  <sheetFormatPr defaultRowHeight="12.75" x14ac:dyDescent="0.2"/>
  <cols>
    <col min="2" max="2" width="64.7109375" customWidth="1"/>
    <col min="3" max="3" width="16.85546875" customWidth="1"/>
    <col min="4" max="4" width="15.28515625" customWidth="1"/>
    <col min="5" max="6" width="17.140625" customWidth="1"/>
    <col min="7" max="7" width="17.28515625" customWidth="1"/>
    <col min="8" max="8" width="13.85546875" customWidth="1"/>
    <col min="9" max="9" width="16.28515625" customWidth="1"/>
    <col min="10" max="10" width="14.7109375" customWidth="1"/>
  </cols>
  <sheetData>
    <row r="3" spans="1:9" ht="15" x14ac:dyDescent="0.2">
      <c r="A3" s="179" t="s">
        <v>421</v>
      </c>
      <c r="B3" s="179" t="s">
        <v>1105</v>
      </c>
    </row>
    <row r="4" spans="1:9" ht="15.75" thickBot="1" x14ac:dyDescent="0.25">
      <c r="A4" s="179"/>
    </row>
    <row r="5" spans="1:9" ht="15.75" thickBot="1" x14ac:dyDescent="0.25">
      <c r="A5" s="180"/>
      <c r="B5" s="181" t="s">
        <v>423</v>
      </c>
      <c r="C5" s="182">
        <v>2015</v>
      </c>
      <c r="D5" s="182">
        <v>2016</v>
      </c>
      <c r="E5" s="182">
        <v>2017</v>
      </c>
      <c r="F5" s="182">
        <v>2018</v>
      </c>
      <c r="G5" s="183" t="s">
        <v>424</v>
      </c>
      <c r="H5" s="184"/>
    </row>
    <row r="6" spans="1:9" ht="15.75" thickBot="1" x14ac:dyDescent="0.25">
      <c r="A6" s="185"/>
      <c r="B6" s="186" t="s">
        <v>425</v>
      </c>
      <c r="C6" s="187" t="s">
        <v>295</v>
      </c>
      <c r="D6" s="187" t="s">
        <v>295</v>
      </c>
      <c r="E6" s="187" t="s">
        <v>295</v>
      </c>
      <c r="F6" s="187" t="s">
        <v>295</v>
      </c>
      <c r="G6" s="187" t="s">
        <v>295</v>
      </c>
      <c r="H6" s="188"/>
    </row>
    <row r="7" spans="1:9" ht="21" customHeight="1" thickBot="1" x14ac:dyDescent="0.25">
      <c r="A7" s="189">
        <v>1</v>
      </c>
      <c r="B7" s="190" t="s">
        <v>427</v>
      </c>
      <c r="C7" s="190">
        <f>Workings!P76+Workings!P91</f>
        <v>207836</v>
      </c>
      <c r="D7" s="190">
        <f>Workings!Q76+Workings!Q91</f>
        <v>309447.64</v>
      </c>
      <c r="E7" s="190">
        <f>Workings!R76+Workings!R91</f>
        <v>224827</v>
      </c>
      <c r="F7" s="190">
        <f>Workings!S76+Workings!S91</f>
        <v>170333.5</v>
      </c>
      <c r="G7" s="190">
        <f>SUM(C7:F7)</f>
        <v>912444.14</v>
      </c>
      <c r="H7" s="188"/>
    </row>
    <row r="8" spans="1:9" ht="34.5" customHeight="1" thickBot="1" x14ac:dyDescent="0.25">
      <c r="A8" s="189">
        <v>2</v>
      </c>
      <c r="B8" s="190" t="s">
        <v>428</v>
      </c>
      <c r="C8" s="190">
        <f>Workings!P112+Workings!P123+Workings!P162</f>
        <v>372541</v>
      </c>
      <c r="D8" s="190">
        <f>Workings!Q112+Workings!Q123+Workings!Q162</f>
        <v>571790.33000000007</v>
      </c>
      <c r="E8" s="190">
        <f>Workings!R112+Workings!R123+Workings!R130+Workings!R162</f>
        <v>235483</v>
      </c>
      <c r="F8" s="190">
        <f>Workings!S112+Workings!S123+Workings!S162</f>
        <v>214625</v>
      </c>
      <c r="G8" s="190">
        <f t="shared" ref="G8:G11" si="0">SUM(C8:F8)</f>
        <v>1394439.33</v>
      </c>
      <c r="H8" s="188"/>
    </row>
    <row r="9" spans="1:9" ht="36.75" customHeight="1" thickBot="1" x14ac:dyDescent="0.25">
      <c r="A9" s="189">
        <v>3</v>
      </c>
      <c r="B9" s="190" t="s">
        <v>429</v>
      </c>
      <c r="C9" s="190">
        <f>Workings!P170</f>
        <v>119000</v>
      </c>
      <c r="D9" s="190">
        <f>Workings!Q170</f>
        <v>15800</v>
      </c>
      <c r="E9" s="190">
        <f>Workings!R170</f>
        <v>4000</v>
      </c>
      <c r="F9" s="190">
        <f>Workings!S170</f>
        <v>5000</v>
      </c>
      <c r="G9" s="190">
        <f t="shared" si="0"/>
        <v>143800</v>
      </c>
      <c r="H9" s="188"/>
    </row>
    <row r="10" spans="1:9" ht="36.75" customHeight="1" thickBot="1" x14ac:dyDescent="0.25">
      <c r="A10" s="189">
        <v>4</v>
      </c>
      <c r="B10" s="190" t="s">
        <v>430</v>
      </c>
      <c r="C10" s="190">
        <f>Workings!P201+Workings!P256</f>
        <v>765790.7</v>
      </c>
      <c r="D10" s="190">
        <f>Workings!Q201+Workings!Q256</f>
        <v>560008.87</v>
      </c>
      <c r="E10" s="190">
        <f>Workings!R201+Workings!R256</f>
        <v>454076.41000000003</v>
      </c>
      <c r="F10" s="190">
        <f>Workings!S201+Workings!S256</f>
        <v>410261.7</v>
      </c>
      <c r="G10" s="190">
        <f t="shared" si="0"/>
        <v>2190137.6800000002</v>
      </c>
      <c r="H10" s="188"/>
    </row>
    <row r="11" spans="1:9" ht="23.25" customHeight="1" thickBot="1" x14ac:dyDescent="0.25">
      <c r="A11" s="189">
        <v>5</v>
      </c>
      <c r="B11" s="190" t="s">
        <v>431</v>
      </c>
      <c r="C11" s="190">
        <f>Workings!P269+Workings!P281</f>
        <v>187600</v>
      </c>
      <c r="D11" s="190">
        <f>Workings!Q269+Workings!Q281</f>
        <v>122400</v>
      </c>
      <c r="E11" s="190">
        <f>Workings!R269+Workings!R281</f>
        <v>17600</v>
      </c>
      <c r="F11" s="190">
        <f>Workings!S269+Workings!S281</f>
        <v>39200</v>
      </c>
      <c r="G11" s="190">
        <f t="shared" si="0"/>
        <v>366800</v>
      </c>
      <c r="H11" s="188"/>
    </row>
    <row r="12" spans="1:9" ht="25.5" customHeight="1" thickBot="1" x14ac:dyDescent="0.25">
      <c r="A12" s="185"/>
      <c r="B12" s="191" t="s">
        <v>432</v>
      </c>
      <c r="C12" s="191">
        <f>SUM(C7:C11)+0.01</f>
        <v>1652767.71</v>
      </c>
      <c r="D12" s="191">
        <f>SUM(D7:D11)</f>
        <v>1579446.84</v>
      </c>
      <c r="E12" s="191">
        <f>SUM(E7:E11)</f>
        <v>935986.41</v>
      </c>
      <c r="F12" s="191">
        <f>SUM(F7:F11)</f>
        <v>839420.2</v>
      </c>
      <c r="G12" s="191">
        <f>SUM(G7:G11)</f>
        <v>5007621.1500000004</v>
      </c>
      <c r="H12" s="191"/>
      <c r="I12" s="2794"/>
    </row>
    <row r="13" spans="1:9" ht="15.75" thickBot="1" x14ac:dyDescent="0.25">
      <c r="A13" s="185"/>
      <c r="B13" s="186"/>
      <c r="C13" s="192"/>
      <c r="D13" s="192"/>
      <c r="E13" s="192"/>
      <c r="F13" s="192"/>
      <c r="G13" s="192"/>
      <c r="H13" s="188"/>
    </row>
    <row r="14" spans="1:9" ht="15" thickBot="1" x14ac:dyDescent="0.25">
      <c r="A14" s="185"/>
      <c r="B14" s="192"/>
      <c r="C14" s="192"/>
      <c r="D14" s="192"/>
      <c r="E14" s="192"/>
      <c r="F14" s="192"/>
      <c r="G14" s="192"/>
      <c r="H14" s="188"/>
    </row>
    <row r="15" spans="1:9" ht="15" thickBot="1" x14ac:dyDescent="0.25">
      <c r="A15" s="185"/>
      <c r="B15" s="192"/>
      <c r="C15" s="192"/>
      <c r="D15" s="192"/>
      <c r="E15" s="192"/>
      <c r="F15" s="192"/>
      <c r="G15" s="192"/>
      <c r="H15" s="188"/>
    </row>
    <row r="16" spans="1:9" ht="15" thickBot="1" x14ac:dyDescent="0.25">
      <c r="A16" s="185"/>
      <c r="B16" s="193" t="s">
        <v>432</v>
      </c>
      <c r="C16" s="192">
        <f>C12-C15</f>
        <v>1652767.71</v>
      </c>
      <c r="D16" s="192">
        <f>D12-D15</f>
        <v>1579446.84</v>
      </c>
      <c r="E16" s="192">
        <f>E12-E15</f>
        <v>935986.41</v>
      </c>
      <c r="F16" s="192">
        <f>F12-F15</f>
        <v>839420.2</v>
      </c>
      <c r="G16" s="192">
        <f>G12-G15</f>
        <v>5007621.1500000004</v>
      </c>
      <c r="H16" s="188"/>
    </row>
    <row r="17" spans="1:8" ht="16.5" customHeight="1" thickBot="1" x14ac:dyDescent="0.25">
      <c r="A17" s="185"/>
      <c r="B17" s="190" t="s">
        <v>433</v>
      </c>
      <c r="C17" s="190">
        <f>Workings!P285</f>
        <v>87473.04</v>
      </c>
      <c r="D17" s="190">
        <f>Workings!Q285</f>
        <v>76426.52</v>
      </c>
      <c r="E17" s="190">
        <f>Workings!R285</f>
        <v>40000</v>
      </c>
      <c r="F17" s="190">
        <f>Workings!S285</f>
        <v>35000</v>
      </c>
      <c r="G17" s="190">
        <f>Workings!T285</f>
        <v>238899.56</v>
      </c>
      <c r="H17" s="188"/>
    </row>
    <row r="18" spans="1:8" ht="15.75" thickBot="1" x14ac:dyDescent="0.25">
      <c r="A18" s="185"/>
      <c r="B18" s="194" t="s">
        <v>434</v>
      </c>
      <c r="C18" s="195">
        <f>C12+C17</f>
        <v>1740240.75</v>
      </c>
      <c r="D18" s="195">
        <f>D12+D17+0.39</f>
        <v>1655873.75</v>
      </c>
      <c r="E18" s="195">
        <f>E12+E17</f>
        <v>975986.41</v>
      </c>
      <c r="F18" s="195">
        <f>F12+F17</f>
        <v>874420.2</v>
      </c>
      <c r="G18" s="195">
        <f>G12+G17-0.7</f>
        <v>5246520.01</v>
      </c>
      <c r="H18" s="188"/>
    </row>
    <row r="20" spans="1:8" x14ac:dyDescent="0.2">
      <c r="B20" s="196" t="s">
        <v>435</v>
      </c>
      <c r="C20" s="196">
        <v>1</v>
      </c>
      <c r="D20" s="197" t="s">
        <v>436</v>
      </c>
      <c r="E20" s="198">
        <v>1.1316999999999999</v>
      </c>
      <c r="F20" s="198"/>
    </row>
  </sheetData>
  <pageMargins left="0.7" right="0.7" top="0.75" bottom="0.75"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0"/>
  <sheetViews>
    <sheetView view="pageBreakPreview" zoomScale="60" zoomScaleNormal="100" workbookViewId="0">
      <selection activeCell="H51" sqref="H51"/>
    </sheetView>
  </sheetViews>
  <sheetFormatPr defaultRowHeight="12.75" x14ac:dyDescent="0.2"/>
  <cols>
    <col min="2" max="2" width="64.7109375" customWidth="1"/>
    <col min="3" max="3" width="16.85546875" customWidth="1"/>
    <col min="4" max="4" width="15.28515625" customWidth="1"/>
    <col min="5" max="6" width="17.140625" customWidth="1"/>
    <col min="7" max="7" width="17.28515625" customWidth="1"/>
    <col min="8" max="8" width="16.28515625" customWidth="1"/>
    <col min="9" max="9" width="14.7109375" customWidth="1"/>
  </cols>
  <sheetData>
    <row r="3" spans="1:8" ht="15" x14ac:dyDescent="0.2">
      <c r="A3" s="179" t="s">
        <v>421</v>
      </c>
      <c r="B3" s="179" t="s">
        <v>422</v>
      </c>
    </row>
    <row r="4" spans="1:8" ht="15.75" thickBot="1" x14ac:dyDescent="0.25">
      <c r="A4" s="179"/>
    </row>
    <row r="5" spans="1:8" ht="15.75" thickBot="1" x14ac:dyDescent="0.25">
      <c r="A5" s="180"/>
      <c r="B5" s="181" t="s">
        <v>423</v>
      </c>
      <c r="C5" s="182">
        <v>2015</v>
      </c>
      <c r="D5" s="182">
        <v>2016</v>
      </c>
      <c r="E5" s="182">
        <v>2017</v>
      </c>
      <c r="F5" s="182">
        <v>2018</v>
      </c>
      <c r="G5" s="183" t="s">
        <v>424</v>
      </c>
    </row>
    <row r="6" spans="1:8" ht="15.75" thickBot="1" x14ac:dyDescent="0.25">
      <c r="A6" s="185"/>
      <c r="B6" s="186" t="s">
        <v>425</v>
      </c>
      <c r="C6" s="187" t="s">
        <v>731</v>
      </c>
      <c r="D6" s="187" t="s">
        <v>731</v>
      </c>
      <c r="E6" s="187" t="s">
        <v>731</v>
      </c>
      <c r="F6" s="187" t="s">
        <v>731</v>
      </c>
      <c r="G6" s="187" t="s">
        <v>731</v>
      </c>
    </row>
    <row r="7" spans="1:8" ht="21" customHeight="1" thickBot="1" x14ac:dyDescent="0.25">
      <c r="A7" s="189">
        <v>1</v>
      </c>
      <c r="B7" s="190" t="s">
        <v>427</v>
      </c>
      <c r="C7" s="190">
        <f>'CONSOL BUDGET OUTCOME US$ '!C7/1.1317</f>
        <v>183649.37704338608</v>
      </c>
      <c r="D7" s="190">
        <f>'CONSOL BUDGET OUTCOME US$ '!D7/1.1317</f>
        <v>273436.10497481667</v>
      </c>
      <c r="E7" s="190">
        <f>'CONSOL BUDGET OUTCOME US$ '!E7/1.1317</f>
        <v>198663.07325262879</v>
      </c>
      <c r="F7" s="190">
        <f>'CONSOL BUDGET OUTCOME US$ '!F7/1.1317</f>
        <v>150511.17787399489</v>
      </c>
      <c r="G7" s="190">
        <f>SUM(C7:F7)</f>
        <v>806259.73314482649</v>
      </c>
    </row>
    <row r="8" spans="1:8" ht="34.5" customHeight="1" thickBot="1" x14ac:dyDescent="0.25">
      <c r="A8" s="189">
        <v>2</v>
      </c>
      <c r="B8" s="190" t="s">
        <v>428</v>
      </c>
      <c r="C8" s="190">
        <f>'CONSOL BUDGET OUTCOME US$ '!C8/1.1317</f>
        <v>329187.06370946363</v>
      </c>
      <c r="D8" s="190">
        <f>'CONSOL BUDGET OUTCOME US$ '!D8/1.1317</f>
        <v>505249.03242908907</v>
      </c>
      <c r="E8" s="190">
        <f>'CONSOL BUDGET OUTCOME US$ '!E8/1.1317</f>
        <v>208078.99620040649</v>
      </c>
      <c r="F8" s="190">
        <f>'CONSOL BUDGET OUTCOME US$ '!F8/1.1317</f>
        <v>189648.31669170276</v>
      </c>
      <c r="G8" s="190">
        <f>SUM(C8:F8)</f>
        <v>1232163.4090306619</v>
      </c>
    </row>
    <row r="9" spans="1:8" ht="36.75" customHeight="1" thickBot="1" x14ac:dyDescent="0.25">
      <c r="A9" s="189">
        <v>3</v>
      </c>
      <c r="B9" s="190" t="s">
        <v>429</v>
      </c>
      <c r="C9" s="190">
        <f>'CONSOL BUDGET OUTCOME US$ '!C9/1.1317</f>
        <v>105151.54192807282</v>
      </c>
      <c r="D9" s="190">
        <f>'CONSOL BUDGET OUTCOME US$ '!D9/1.1317</f>
        <v>13961.297163559248</v>
      </c>
      <c r="E9" s="190">
        <f>'CONSOL BUDGET OUTCOME US$ '!E9/1.1317</f>
        <v>3534.5056110276578</v>
      </c>
      <c r="F9" s="190">
        <f>'CONSOL BUDGET OUTCOME US$ '!F9/1.1317</f>
        <v>4418.1320137845723</v>
      </c>
      <c r="G9" s="190">
        <f t="shared" ref="G9:G11" si="0">SUM(C9:F9)</f>
        <v>127065.47671644432</v>
      </c>
    </row>
    <row r="10" spans="1:8" ht="36.75" customHeight="1" thickBot="1" x14ac:dyDescent="0.25">
      <c r="A10" s="189">
        <v>4</v>
      </c>
      <c r="B10" s="190" t="s">
        <v>430</v>
      </c>
      <c r="C10" s="190">
        <f>'CONSOL BUDGET OUTCOME US$ '!C10/1.1317</f>
        <v>676672.88150569936</v>
      </c>
      <c r="D10" s="190">
        <f>'CONSOL BUDGET OUTCOME US$ '!D10/1.1317</f>
        <v>494838.62331006455</v>
      </c>
      <c r="E10" s="190">
        <f>'CONSOL BUDGET OUTCOME US$ '!E10/1.1317</f>
        <v>401233.90474507381</v>
      </c>
      <c r="F10" s="190">
        <f>'CONSOL BUDGET OUTCOME US$ '!F10/1.1317</f>
        <v>362518.07015993644</v>
      </c>
      <c r="G10" s="190">
        <f t="shared" si="0"/>
        <v>1935263.4797207741</v>
      </c>
    </row>
    <row r="11" spans="1:8" ht="23.25" customHeight="1" thickBot="1" x14ac:dyDescent="0.25">
      <c r="A11" s="189">
        <v>5</v>
      </c>
      <c r="B11" s="190" t="s">
        <v>431</v>
      </c>
      <c r="C11" s="190">
        <f>'CONSOL BUDGET OUTCOME US$ '!C11/1.1317</f>
        <v>165768.31315719715</v>
      </c>
      <c r="D11" s="190">
        <f>'CONSOL BUDGET OUTCOME US$ '!D11/1.1317</f>
        <v>108155.87169744633</v>
      </c>
      <c r="E11" s="190">
        <f>'CONSOL BUDGET OUTCOME US$ '!E11/1.1317</f>
        <v>15551.824688521694</v>
      </c>
      <c r="F11" s="190">
        <f>'CONSOL BUDGET OUTCOME US$ '!F11/1.1317</f>
        <v>34638.154988071044</v>
      </c>
      <c r="G11" s="190">
        <f t="shared" si="0"/>
        <v>324114.16453123622</v>
      </c>
    </row>
    <row r="12" spans="1:8" ht="25.5" customHeight="1" thickBot="1" x14ac:dyDescent="0.25">
      <c r="A12" s="185"/>
      <c r="B12" s="191" t="s">
        <v>432</v>
      </c>
      <c r="C12" s="191">
        <f>SUM(C7:C11)+0.01</f>
        <v>1460429.1873438188</v>
      </c>
      <c r="D12" s="191">
        <f>SUM(D7:D11)</f>
        <v>1395640.9295749757</v>
      </c>
      <c r="E12" s="191">
        <f>SUM(E7:E11)</f>
        <v>827062.30449765839</v>
      </c>
      <c r="F12" s="191">
        <f>SUM(F7:F11)</f>
        <v>741733.85172748973</v>
      </c>
      <c r="G12" s="191">
        <f>SUM(G7:G11)</f>
        <v>4424866.2631439427</v>
      </c>
      <c r="H12" s="2794"/>
    </row>
    <row r="13" spans="1:8" ht="15.75" thickBot="1" x14ac:dyDescent="0.25">
      <c r="A13" s="185"/>
      <c r="B13" s="186"/>
      <c r="C13" s="192"/>
      <c r="D13" s="192"/>
      <c r="E13" s="192"/>
      <c r="F13" s="192"/>
      <c r="G13" s="192"/>
    </row>
    <row r="14" spans="1:8" ht="15" thickBot="1" x14ac:dyDescent="0.25">
      <c r="A14" s="185"/>
      <c r="B14" s="192"/>
      <c r="C14" s="192"/>
      <c r="D14" s="192"/>
      <c r="E14" s="192"/>
      <c r="F14" s="192"/>
      <c r="G14" s="192"/>
    </row>
    <row r="15" spans="1:8" ht="15" thickBot="1" x14ac:dyDescent="0.25">
      <c r="A15" s="185"/>
      <c r="B15" s="192"/>
      <c r="C15" s="192"/>
      <c r="D15" s="192"/>
      <c r="E15" s="192"/>
      <c r="F15" s="192"/>
      <c r="G15" s="192"/>
    </row>
    <row r="16" spans="1:8" ht="15" thickBot="1" x14ac:dyDescent="0.25">
      <c r="A16" s="185"/>
      <c r="B16" s="193" t="s">
        <v>432</v>
      </c>
      <c r="C16" s="192">
        <f>C12-C15</f>
        <v>1460429.1873438188</v>
      </c>
      <c r="D16" s="192">
        <f>D12-D15</f>
        <v>1395640.9295749757</v>
      </c>
      <c r="E16" s="192">
        <f>E12-E15</f>
        <v>827062.30449765839</v>
      </c>
      <c r="F16" s="192">
        <f>F12-F15</f>
        <v>741733.85172748973</v>
      </c>
      <c r="G16" s="192">
        <f>G12-G15</f>
        <v>4424866.2631439427</v>
      </c>
    </row>
    <row r="17" spans="1:7" ht="16.5" customHeight="1" thickBot="1" x14ac:dyDescent="0.25">
      <c r="A17" s="185"/>
      <c r="B17" s="190" t="s">
        <v>433</v>
      </c>
      <c r="C17" s="190">
        <f>Workings!P285/1.1317</f>
        <v>77293.487673411684</v>
      </c>
      <c r="D17" s="190">
        <f>Workings!Q285/1.1317</f>
        <v>67532.490942829376</v>
      </c>
      <c r="E17" s="190">
        <f>Workings!R285/1.1317</f>
        <v>35345.056110276579</v>
      </c>
      <c r="F17" s="190">
        <f>Workings!S285/1.1317</f>
        <v>30926.924096492006</v>
      </c>
      <c r="G17" s="190">
        <f>Workings!T285/1.1317+2</f>
        <v>211099.95882300966</v>
      </c>
    </row>
    <row r="18" spans="1:7" ht="15.75" thickBot="1" x14ac:dyDescent="0.25">
      <c r="A18" s="185"/>
      <c r="B18" s="194" t="s">
        <v>434</v>
      </c>
      <c r="C18" s="195">
        <f>C12+C17</f>
        <v>1537722.6750172304</v>
      </c>
      <c r="D18" s="195">
        <f>D12+D17+0.39</f>
        <v>1463173.8105178049</v>
      </c>
      <c r="E18" s="195">
        <f>E12+E17</f>
        <v>862407.360607935</v>
      </c>
      <c r="F18" s="195">
        <f>F12+F17</f>
        <v>772660.77582398173</v>
      </c>
      <c r="G18" s="2630">
        <f>G12+G17</f>
        <v>4635966.2219669521</v>
      </c>
    </row>
    <row r="20" spans="1:7" x14ac:dyDescent="0.2">
      <c r="B20" s="196" t="s">
        <v>435</v>
      </c>
      <c r="C20" s="196" t="s">
        <v>911</v>
      </c>
      <c r="D20" s="197"/>
      <c r="E20" s="198"/>
      <c r="F20" s="198"/>
    </row>
  </sheetData>
  <pageMargins left="0.7" right="0.7" top="0.75" bottom="0.75" header="0.3" footer="0.3"/>
  <pageSetup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PSP Workplan 2015-18 </vt:lpstr>
      <vt:lpstr>Forecast Budget &amp; Followup</vt:lpstr>
      <vt:lpstr>Adenda or Use of Contigency</vt:lpstr>
      <vt:lpstr>Workings</vt:lpstr>
      <vt:lpstr>2. Justification</vt:lpstr>
      <vt:lpstr>3.  Expected sources of funding</vt:lpstr>
      <vt:lpstr>CONSOL BUDGET OUTCOME US$ </vt:lpstr>
      <vt:lpstr>CONSOL BUDGET OUTCOME EUROs</vt:lpstr>
      <vt:lpstr>'3.  Expected sources of funding'!Print_Area</vt:lpstr>
      <vt:lpstr>'Forecast Budget &amp; Followup'!Print_Area</vt:lpstr>
      <vt:lpstr>'PSP Workplan 2015-18 '!Print_Area</vt:lpstr>
      <vt:lpstr>Workings!Print_Area</vt:lpstr>
      <vt:lpstr>'2. Justification'!Print_Titles</vt:lpstr>
      <vt:lpstr>'Forecast Budget &amp; Followup'!Print_Titles</vt:lpstr>
      <vt:lpstr>'PSP Workplan 2015-18 '!Print_Titles</vt:lpstr>
      <vt:lpstr>Workings!Print_Titles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Mzilikazi</dc:creator>
  <cp:lastModifiedBy>MIDZI Francisca Onai (EEAS-HARARE)</cp:lastModifiedBy>
  <cp:lastPrinted>2017-12-13T08:58:42Z</cp:lastPrinted>
  <dcterms:created xsi:type="dcterms:W3CDTF">2015-04-14T05:53:31Z</dcterms:created>
  <dcterms:modified xsi:type="dcterms:W3CDTF">2017-12-13T08:58:47Z</dcterms:modified>
</cp:coreProperties>
</file>